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9.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externalLinks/externalLink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externalLinks/externalLink25.xml" ContentType="application/vnd.openxmlformats-officedocument.spreadsheetml.externalLink+xml"/>
  <Override PartName="/xl/drawings/drawing2.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externalLinks/externalLink14.xml" ContentType="application/vnd.openxmlformats-officedocument.spreadsheetml.externalLink+xml"/>
  <Override PartName="/xl/externalLinks/externalLink23.xml" ContentType="application/vnd.openxmlformats-officedocument.spreadsheetml.externalLink+xml"/>
  <Override PartName="/xl/externalLinks/externalLink3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2.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worksheets/sheet29.xml" ContentType="application/vnd.openxmlformats-officedocument.spreadsheetml.worksheet+xml"/>
  <Override PartName="/xl/worksheets/sheet38.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externalLinks/externalLink19.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externalLinks/externalLink17.xml" ContentType="application/vnd.openxmlformats-officedocument.spreadsheetml.externalLink+xml"/>
  <Override PartName="/xl/externalLinks/externalLink28.xml" ContentType="application/vnd.openxmlformats-officedocument.spreadsheetml.externalLink+xml"/>
  <Default Extension="jpeg" ContentType="image/jpeg"/>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externalLinks/externalLink24.xml" ContentType="application/vnd.openxmlformats-officedocument.spreadsheetml.externalLink+xml"/>
  <Override PartName="/xl/externalLinks/externalLink26.xml" ContentType="application/vnd.openxmlformats-officedocument.spreadsheetml.externalLink+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22.xml" ContentType="application/vnd.openxmlformats-officedocument.spreadsheetml.externalLink+xml"/>
  <Override PartName="/xl/externalLinks/externalLink33.xml" ContentType="application/vnd.openxmlformats-officedocument.spreadsheetml.externalLink+xml"/>
  <Override PartName="/xl/drawings/drawing1.xml" ContentType="application/vnd.openxmlformats-officedocument.drawing+xml"/>
  <Override PartName="/xl/externalLinks/externalLink11.xml" ContentType="application/vnd.openxmlformats-officedocument.spreadsheetml.externalLink+xml"/>
  <Override PartName="/xl/externalLinks/externalLink20.xml" ContentType="application/vnd.openxmlformats-officedocument.spreadsheetml.externalLink+xml"/>
  <Override PartName="/xl/externalLinks/externalLink3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75" windowWidth="20055" windowHeight="7935" activeTab="38"/>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 name="Sheet15" sheetId="15" r:id="rId15"/>
    <sheet name="Sheet16" sheetId="16" r:id="rId16"/>
    <sheet name="Sheet17" sheetId="17" r:id="rId17"/>
    <sheet name="Sheet18" sheetId="18" r:id="rId18"/>
    <sheet name="Sheet19" sheetId="19" r:id="rId19"/>
    <sheet name="Sheet20" sheetId="20" r:id="rId20"/>
    <sheet name="Sheet21" sheetId="21" r:id="rId21"/>
    <sheet name="Sheet22" sheetId="22" r:id="rId22"/>
    <sheet name="Sheet23" sheetId="23" r:id="rId23"/>
    <sheet name="Sheet24" sheetId="24" r:id="rId24"/>
    <sheet name="Sheet25" sheetId="25" r:id="rId25"/>
    <sheet name="Sheet26" sheetId="26" r:id="rId26"/>
    <sheet name="Sheet27" sheetId="27" r:id="rId27"/>
    <sheet name="Sheet28" sheetId="28" r:id="rId28"/>
    <sheet name="Sheet29" sheetId="29" r:id="rId29"/>
    <sheet name="Sheet30" sheetId="30" r:id="rId30"/>
    <sheet name="Sheet31" sheetId="31" r:id="rId31"/>
    <sheet name="Sheet32" sheetId="32" r:id="rId32"/>
    <sheet name="Sheet33" sheetId="33" r:id="rId33"/>
    <sheet name="Sheet34" sheetId="34" r:id="rId34"/>
    <sheet name="Sheet35" sheetId="35" r:id="rId35"/>
    <sheet name="Sheet36" sheetId="36" r:id="rId36"/>
    <sheet name="Sheet37" sheetId="37" r:id="rId37"/>
    <sheet name="Sheet38" sheetId="38" r:id="rId38"/>
    <sheet name="Sheet39" sheetId="39"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calcPr calcId="124519"/>
</workbook>
</file>

<file path=xl/calcChain.xml><?xml version="1.0" encoding="utf-8"?>
<calcChain xmlns="http://schemas.openxmlformats.org/spreadsheetml/2006/main">
  <c r="F20" i="8"/>
  <c r="C20"/>
  <c r="C19"/>
  <c r="F19" s="1"/>
  <c r="F18"/>
  <c r="C18"/>
  <c r="C17"/>
  <c r="F17" s="1"/>
  <c r="F16"/>
  <c r="C16"/>
  <c r="F13"/>
  <c r="F12"/>
  <c r="F21" s="1"/>
  <c r="F4"/>
  <c r="F22" l="1"/>
  <c r="F23"/>
  <c r="F24" l="1"/>
  <c r="F25"/>
  <c r="F21" i="22" l="1"/>
  <c r="F20"/>
  <c r="C20"/>
  <c r="F19"/>
  <c r="C19"/>
  <c r="F18"/>
  <c r="F17"/>
  <c r="C17"/>
  <c r="C16"/>
  <c r="F16" s="1"/>
  <c r="F14"/>
  <c r="C14"/>
  <c r="C13"/>
  <c r="F13" s="1"/>
  <c r="F12"/>
  <c r="F11"/>
  <c r="C11"/>
  <c r="F10"/>
  <c r="C10"/>
  <c r="F9"/>
  <c r="C9"/>
  <c r="F8"/>
  <c r="C8"/>
  <c r="F7"/>
  <c r="C7"/>
  <c r="F6"/>
  <c r="C6"/>
  <c r="F5"/>
  <c r="C5"/>
  <c r="K4"/>
  <c r="F22" l="1"/>
  <c r="F23" l="1"/>
  <c r="F24" s="1"/>
  <c r="F25" l="1"/>
  <c r="F26" s="1"/>
  <c r="C15" i="27" l="1"/>
  <c r="F15" s="1"/>
  <c r="C14"/>
  <c r="F14" s="1"/>
  <c r="C13"/>
  <c r="F13" s="1"/>
  <c r="C12"/>
  <c r="F12" s="1"/>
  <c r="C11"/>
  <c r="F11" s="1"/>
  <c r="C9"/>
  <c r="F9" s="1"/>
  <c r="C8"/>
  <c r="F8" s="1"/>
  <c r="C7"/>
  <c r="F7" s="1"/>
  <c r="C6"/>
  <c r="F6" s="1"/>
  <c r="C5"/>
  <c r="F5" s="1"/>
  <c r="A3" i="14"/>
  <c r="F16" i="1"/>
  <c r="F15"/>
  <c r="F14"/>
  <c r="F13"/>
  <c r="F12"/>
  <c r="F11"/>
  <c r="F10"/>
  <c r="F9"/>
  <c r="F8"/>
  <c r="F7"/>
  <c r="F6"/>
  <c r="F5"/>
  <c r="F4"/>
  <c r="F17" s="1"/>
  <c r="C15" i="2"/>
  <c r="F15" s="1"/>
  <c r="C14"/>
  <c r="F14" s="1"/>
  <c r="C13"/>
  <c r="F13" s="1"/>
  <c r="C12"/>
  <c r="F12" s="1"/>
  <c r="C11"/>
  <c r="F11" s="1"/>
  <c r="E9"/>
  <c r="C9"/>
  <c r="F9" s="1"/>
  <c r="B9"/>
  <c r="A9"/>
  <c r="E8"/>
  <c r="C8"/>
  <c r="F8" s="1"/>
  <c r="B8"/>
  <c r="A8"/>
  <c r="E7"/>
  <c r="C7"/>
  <c r="F7" s="1"/>
  <c r="B7"/>
  <c r="A7"/>
  <c r="E6"/>
  <c r="C6"/>
  <c r="F6" s="1"/>
  <c r="B6"/>
  <c r="A6"/>
  <c r="F5"/>
  <c r="E5"/>
  <c r="D5"/>
  <c r="C5"/>
  <c r="B5"/>
  <c r="A5"/>
  <c r="A3"/>
  <c r="F16" i="27" l="1"/>
  <c r="F18" i="1"/>
  <c r="F19" s="1"/>
  <c r="F16" i="2"/>
  <c r="F17" i="27" l="1"/>
  <c r="F18" s="1"/>
  <c r="F20" i="1"/>
  <c r="F21" s="1"/>
  <c r="F17" i="2"/>
  <c r="F18" s="1"/>
  <c r="F19" i="27" l="1"/>
  <c r="F20" s="1"/>
  <c r="F19" i="2"/>
  <c r="F20" s="1"/>
  <c r="F21" s="1"/>
  <c r="E20" i="5" l="1"/>
  <c r="C20"/>
  <c r="E19"/>
  <c r="C19"/>
  <c r="E18"/>
  <c r="C18"/>
  <c r="E17"/>
  <c r="C17"/>
  <c r="B17"/>
  <c r="E16"/>
  <c r="C16"/>
  <c r="F14"/>
  <c r="E14"/>
  <c r="D14"/>
  <c r="C14"/>
  <c r="B14"/>
  <c r="A14"/>
  <c r="F13"/>
  <c r="E13"/>
  <c r="C13"/>
  <c r="B13"/>
  <c r="A13"/>
  <c r="F12"/>
  <c r="E12"/>
  <c r="D12"/>
  <c r="D13" s="1"/>
  <c r="C12"/>
  <c r="B12"/>
  <c r="A12"/>
  <c r="B11"/>
  <c r="A11"/>
  <c r="F10"/>
  <c r="E10"/>
  <c r="D10"/>
  <c r="C10"/>
  <c r="B10"/>
  <c r="A10"/>
  <c r="E9"/>
  <c r="C9"/>
  <c r="F9" s="1"/>
  <c r="B9"/>
  <c r="A9"/>
  <c r="E8"/>
  <c r="C8"/>
  <c r="B8"/>
  <c r="A8"/>
  <c r="E7"/>
  <c r="C7"/>
  <c r="B7"/>
  <c r="A7"/>
  <c r="E6"/>
  <c r="D6"/>
  <c r="C6"/>
  <c r="F6" s="1"/>
  <c r="B6"/>
  <c r="A6"/>
  <c r="E5"/>
  <c r="D5"/>
  <c r="C5"/>
  <c r="F5" s="1"/>
  <c r="B5"/>
  <c r="A5"/>
  <c r="A3"/>
  <c r="E20" i="4"/>
  <c r="C20"/>
  <c r="F20" s="1"/>
  <c r="E19"/>
  <c r="C19"/>
  <c r="F19" s="1"/>
  <c r="E18"/>
  <c r="C18"/>
  <c r="F18" s="1"/>
  <c r="E17"/>
  <c r="C17"/>
  <c r="F17" s="1"/>
  <c r="B17"/>
  <c r="E16"/>
  <c r="C16"/>
  <c r="F14"/>
  <c r="E14"/>
  <c r="D14"/>
  <c r="C14"/>
  <c r="B14"/>
  <c r="A14"/>
  <c r="F13"/>
  <c r="E13"/>
  <c r="C13"/>
  <c r="B13"/>
  <c r="A13"/>
  <c r="F12"/>
  <c r="E12"/>
  <c r="D12"/>
  <c r="D13" s="1"/>
  <c r="C12"/>
  <c r="B12"/>
  <c r="A12"/>
  <c r="B11"/>
  <c r="A11"/>
  <c r="F10"/>
  <c r="E10"/>
  <c r="D10"/>
  <c r="C10"/>
  <c r="B10"/>
  <c r="A10"/>
  <c r="E9"/>
  <c r="C9"/>
  <c r="F9" s="1"/>
  <c r="B9"/>
  <c r="A9"/>
  <c r="E8"/>
  <c r="C8"/>
  <c r="F8" s="1"/>
  <c r="B8"/>
  <c r="A8"/>
  <c r="E7"/>
  <c r="C7"/>
  <c r="F7" s="1"/>
  <c r="B7"/>
  <c r="A7"/>
  <c r="E6"/>
  <c r="D6"/>
  <c r="C6"/>
  <c r="F6" s="1"/>
  <c r="B6"/>
  <c r="A6"/>
  <c r="E5"/>
  <c r="D5"/>
  <c r="C5"/>
  <c r="F5" s="1"/>
  <c r="B5"/>
  <c r="A5"/>
  <c r="A3"/>
  <c r="F21" l="1"/>
  <c r="F16"/>
  <c r="F7" i="5"/>
  <c r="F8"/>
  <c r="F21" s="1"/>
  <c r="F22" s="1"/>
  <c r="F23" s="1"/>
  <c r="F17"/>
  <c r="F18"/>
  <c r="F19"/>
  <c r="F20"/>
  <c r="F16"/>
  <c r="F22" i="4"/>
  <c r="F23" s="1"/>
  <c r="F24" i="5" l="1"/>
  <c r="F25" s="1"/>
  <c r="F26" s="1"/>
  <c r="F24" i="4"/>
  <c r="F25" s="1"/>
  <c r="F26" s="1"/>
  <c r="E13" i="3" l="1"/>
  <c r="C13"/>
  <c r="E12"/>
  <c r="C12"/>
  <c r="F10"/>
  <c r="E10"/>
  <c r="D10"/>
  <c r="C10"/>
  <c r="B10"/>
  <c r="A10"/>
  <c r="F9"/>
  <c r="E9"/>
  <c r="C9"/>
  <c r="B9"/>
  <c r="A9"/>
  <c r="F8"/>
  <c r="E8"/>
  <c r="D8"/>
  <c r="D9" s="1"/>
  <c r="C8"/>
  <c r="B8"/>
  <c r="A8"/>
  <c r="B7"/>
  <c r="A7"/>
  <c r="F6"/>
  <c r="E6"/>
  <c r="C6"/>
  <c r="B6"/>
  <c r="A6"/>
  <c r="F5"/>
  <c r="E5"/>
  <c r="D5"/>
  <c r="D6" s="1"/>
  <c r="C5"/>
  <c r="B5"/>
  <c r="A5"/>
  <c r="A3"/>
  <c r="C21" i="9"/>
  <c r="F21" s="1"/>
  <c r="C20"/>
  <c r="F20" s="1"/>
  <c r="C19"/>
  <c r="F19" s="1"/>
  <c r="C18"/>
  <c r="F18" s="1"/>
  <c r="C17"/>
  <c r="F17" s="1"/>
  <c r="F13"/>
  <c r="F12"/>
  <c r="F22" l="1"/>
  <c r="F12" i="3"/>
  <c r="F13"/>
  <c r="F14"/>
  <c r="F23" i="9"/>
  <c r="F24" s="1"/>
  <c r="F15" i="3" l="1"/>
  <c r="F16" s="1"/>
  <c r="F17" s="1"/>
  <c r="F18" s="1"/>
  <c r="F19" s="1"/>
  <c r="F25" i="9"/>
  <c r="F26" s="1"/>
  <c r="C18" i="7" l="1"/>
  <c r="F18" s="1"/>
  <c r="C17"/>
  <c r="F17" s="1"/>
  <c r="C16"/>
  <c r="F16" s="1"/>
  <c r="C15"/>
  <c r="F15" s="1"/>
  <c r="C14"/>
  <c r="F14" s="1"/>
  <c r="F11"/>
  <c r="F10"/>
  <c r="F3"/>
  <c r="F19" l="1"/>
  <c r="F20" l="1"/>
  <c r="F21"/>
  <c r="F22" l="1"/>
  <c r="F23"/>
  <c r="E16" i="31" l="1"/>
  <c r="C16"/>
  <c r="F16" s="1"/>
  <c r="B16"/>
  <c r="E15"/>
  <c r="C15"/>
  <c r="F15" s="1"/>
  <c r="B15"/>
  <c r="E14"/>
  <c r="C14"/>
  <c r="F14" s="1"/>
  <c r="B14"/>
  <c r="E13"/>
  <c r="C13"/>
  <c r="F13" s="1"/>
  <c r="B13"/>
  <c r="E12"/>
  <c r="C12"/>
  <c r="F12" s="1"/>
  <c r="B12"/>
  <c r="A11"/>
  <c r="E10"/>
  <c r="C10"/>
  <c r="F10" s="1"/>
  <c r="A10"/>
  <c r="E9"/>
  <c r="C9"/>
  <c r="F9" s="1"/>
  <c r="A9"/>
  <c r="E8"/>
  <c r="C8"/>
  <c r="F8" s="1"/>
  <c r="A8"/>
  <c r="E7"/>
  <c r="C7"/>
  <c r="F7" s="1"/>
  <c r="A7"/>
  <c r="E6"/>
  <c r="C6"/>
  <c r="F6" s="1"/>
  <c r="A6"/>
  <c r="E5"/>
  <c r="C5"/>
  <c r="F5" s="1"/>
  <c r="F17" s="1"/>
  <c r="B5"/>
  <c r="A5"/>
  <c r="A3"/>
  <c r="F18" l="1"/>
  <c r="F19" s="1"/>
  <c r="F20" l="1"/>
  <c r="F21" s="1"/>
  <c r="E16" i="30" l="1"/>
  <c r="C16"/>
  <c r="F16" s="1"/>
  <c r="B16"/>
  <c r="E15"/>
  <c r="C15"/>
  <c r="F15" s="1"/>
  <c r="B15"/>
  <c r="E14"/>
  <c r="C14"/>
  <c r="F14" s="1"/>
  <c r="B14"/>
  <c r="E13"/>
  <c r="C13"/>
  <c r="F13" s="1"/>
  <c r="B13"/>
  <c r="E12"/>
  <c r="C12"/>
  <c r="F12" s="1"/>
  <c r="B12"/>
  <c r="A11"/>
  <c r="E10"/>
  <c r="C10"/>
  <c r="F10" s="1"/>
  <c r="A10"/>
  <c r="E9"/>
  <c r="C9"/>
  <c r="F9" s="1"/>
  <c r="A9"/>
  <c r="E8"/>
  <c r="C8"/>
  <c r="F8" s="1"/>
  <c r="A8"/>
  <c r="E7"/>
  <c r="C7"/>
  <c r="F7" s="1"/>
  <c r="A7"/>
  <c r="E6"/>
  <c r="C6"/>
  <c r="F6" s="1"/>
  <c r="A6"/>
  <c r="E5"/>
  <c r="C5"/>
  <c r="F5" s="1"/>
  <c r="F17" s="1"/>
  <c r="B5"/>
  <c r="A5"/>
  <c r="A3"/>
  <c r="F18" l="1"/>
  <c r="F19" s="1"/>
  <c r="F20" l="1"/>
  <c r="F21" s="1"/>
  <c r="E16" i="28" l="1"/>
  <c r="C16"/>
  <c r="F16" s="1"/>
  <c r="B16"/>
  <c r="E15"/>
  <c r="C15"/>
  <c r="F15" s="1"/>
  <c r="B15"/>
  <c r="E14"/>
  <c r="C14"/>
  <c r="F14" s="1"/>
  <c r="B14"/>
  <c r="E13"/>
  <c r="C13"/>
  <c r="F13" s="1"/>
  <c r="B13"/>
  <c r="E12"/>
  <c r="C12"/>
  <c r="F12" s="1"/>
  <c r="B12"/>
  <c r="A11"/>
  <c r="E10"/>
  <c r="C10"/>
  <c r="F10" s="1"/>
  <c r="A10"/>
  <c r="E9"/>
  <c r="C9"/>
  <c r="F9" s="1"/>
  <c r="A9"/>
  <c r="E8"/>
  <c r="C8"/>
  <c r="F8" s="1"/>
  <c r="A8"/>
  <c r="E7"/>
  <c r="C7"/>
  <c r="F7" s="1"/>
  <c r="A7"/>
  <c r="E6"/>
  <c r="C6"/>
  <c r="F6" s="1"/>
  <c r="A6"/>
  <c r="E5"/>
  <c r="C5"/>
  <c r="F5" s="1"/>
  <c r="F17" s="1"/>
  <c r="B5"/>
  <c r="A5"/>
  <c r="A3"/>
  <c r="F18" l="1"/>
  <c r="F19" s="1"/>
  <c r="F20" l="1"/>
  <c r="F21" s="1"/>
  <c r="E16" i="29" l="1"/>
  <c r="C16"/>
  <c r="F16" s="1"/>
  <c r="B16"/>
  <c r="E15"/>
  <c r="C15"/>
  <c r="F15" s="1"/>
  <c r="B15"/>
  <c r="E14"/>
  <c r="C14"/>
  <c r="F14" s="1"/>
  <c r="B14"/>
  <c r="E13"/>
  <c r="C13"/>
  <c r="F13" s="1"/>
  <c r="B13"/>
  <c r="E12"/>
  <c r="C12"/>
  <c r="F12" s="1"/>
  <c r="B12"/>
  <c r="A11"/>
  <c r="E10"/>
  <c r="C10"/>
  <c r="F10" s="1"/>
  <c r="A10"/>
  <c r="E9"/>
  <c r="C9"/>
  <c r="F9" s="1"/>
  <c r="A9"/>
  <c r="E8"/>
  <c r="C8"/>
  <c r="F8" s="1"/>
  <c r="A8"/>
  <c r="E7"/>
  <c r="C7"/>
  <c r="F7" s="1"/>
  <c r="A7"/>
  <c r="E6"/>
  <c r="C6"/>
  <c r="F6" s="1"/>
  <c r="A6"/>
  <c r="E5"/>
  <c r="C5"/>
  <c r="F5" s="1"/>
  <c r="F17" s="1"/>
  <c r="B5"/>
  <c r="A5"/>
  <c r="A3"/>
  <c r="F18" l="1"/>
  <c r="F19" s="1"/>
  <c r="F20" l="1"/>
  <c r="F21" s="1"/>
  <c r="F21" i="36" l="1"/>
  <c r="F22" s="1"/>
  <c r="A12"/>
  <c r="F23" l="1"/>
  <c r="F24" l="1"/>
  <c r="F25" s="1"/>
  <c r="F15" i="37" l="1"/>
  <c r="F14"/>
  <c r="F13"/>
  <c r="F12"/>
  <c r="F11"/>
  <c r="F9"/>
  <c r="F8"/>
  <c r="F7"/>
  <c r="F6"/>
  <c r="F5"/>
  <c r="F16" s="1"/>
  <c r="E11" i="33"/>
  <c r="C11"/>
  <c r="F11" s="1"/>
  <c r="B11"/>
  <c r="E10"/>
  <c r="C10"/>
  <c r="F10" s="1"/>
  <c r="B10"/>
  <c r="E9"/>
  <c r="C9"/>
  <c r="F9" s="1"/>
  <c r="B9"/>
  <c r="E7"/>
  <c r="C7"/>
  <c r="F7" s="1"/>
  <c r="F6"/>
  <c r="C6"/>
  <c r="E5"/>
  <c r="C5"/>
  <c r="F5" s="1"/>
  <c r="F12" s="1"/>
  <c r="F17" i="37" l="1"/>
  <c r="F18" s="1"/>
  <c r="F13" i="33"/>
  <c r="F14" s="1"/>
  <c r="F19" i="37" l="1"/>
  <c r="F20" s="1"/>
  <c r="F15" i="33"/>
  <c r="F16"/>
  <c r="E16" i="34" l="1"/>
  <c r="E15"/>
  <c r="E14"/>
  <c r="E13"/>
  <c r="E12"/>
  <c r="A11"/>
  <c r="F10"/>
  <c r="E10"/>
  <c r="C10"/>
  <c r="B10"/>
  <c r="A10"/>
  <c r="F9"/>
  <c r="C9"/>
  <c r="C14" s="1"/>
  <c r="F14" s="1"/>
  <c r="B9"/>
  <c r="A9"/>
  <c r="F8"/>
  <c r="C8"/>
  <c r="C15" s="1"/>
  <c r="F15" s="1"/>
  <c r="B8"/>
  <c r="A8"/>
  <c r="F7"/>
  <c r="C7"/>
  <c r="C13" s="1"/>
  <c r="F13" s="1"/>
  <c r="B7"/>
  <c r="A7"/>
  <c r="F6"/>
  <c r="C6"/>
  <c r="C16" s="1"/>
  <c r="F16" s="1"/>
  <c r="B6"/>
  <c r="A6"/>
  <c r="E5"/>
  <c r="C5"/>
  <c r="F5" s="1"/>
  <c r="B5"/>
  <c r="A5"/>
  <c r="A3"/>
  <c r="F17" l="1"/>
  <c r="C12"/>
  <c r="F12" s="1"/>
  <c r="F18" l="1"/>
  <c r="F19" s="1"/>
  <c r="F20" l="1"/>
  <c r="F21" s="1"/>
  <c r="F11" i="11" l="1"/>
  <c r="F9"/>
  <c r="A9"/>
  <c r="F8"/>
  <c r="A8"/>
  <c r="F7"/>
  <c r="A7"/>
  <c r="F6"/>
  <c r="A6"/>
  <c r="F5"/>
  <c r="F12" s="1"/>
  <c r="F13" s="1"/>
  <c r="F14" s="1"/>
  <c r="F15" s="1"/>
  <c r="F16" s="1"/>
  <c r="C23" i="12" l="1"/>
  <c r="F23" s="1"/>
  <c r="B23"/>
  <c r="F22"/>
  <c r="C22"/>
  <c r="F21"/>
  <c r="C20"/>
  <c r="F20" s="1"/>
  <c r="F19"/>
  <c r="F17"/>
  <c r="B17"/>
  <c r="F16"/>
  <c r="B16"/>
  <c r="F15"/>
  <c r="B15"/>
  <c r="F12"/>
  <c r="F11"/>
  <c r="B10"/>
  <c r="A10"/>
  <c r="F9"/>
  <c r="B9"/>
  <c r="A9"/>
  <c r="F8"/>
  <c r="B8"/>
  <c r="F7"/>
  <c r="B7"/>
  <c r="E6"/>
  <c r="F6" s="1"/>
  <c r="B6"/>
  <c r="A6"/>
  <c r="F5"/>
  <c r="F13" s="1"/>
  <c r="F14" s="1"/>
  <c r="F24" s="1"/>
  <c r="F25" s="1"/>
  <c r="F26" s="1"/>
  <c r="F27" s="1"/>
  <c r="F28" s="1"/>
  <c r="F7" i="35"/>
  <c r="F8" s="1"/>
  <c r="F9" s="1"/>
  <c r="F10" s="1"/>
  <c r="F5"/>
  <c r="F17" i="39" l="1"/>
  <c r="F16"/>
  <c r="F15"/>
  <c r="F14"/>
  <c r="F13"/>
  <c r="F11"/>
  <c r="E10"/>
  <c r="F10" s="1"/>
  <c r="F9"/>
  <c r="F8"/>
  <c r="F7"/>
  <c r="F6"/>
  <c r="F5"/>
  <c r="F18" l="1"/>
  <c r="F19" s="1"/>
  <c r="F20" s="1"/>
  <c r="F21" s="1"/>
  <c r="F22" s="1"/>
  <c r="F15" i="38" l="1"/>
  <c r="F14"/>
  <c r="F13"/>
  <c r="F12"/>
  <c r="F11"/>
  <c r="F9"/>
  <c r="F8"/>
  <c r="F7"/>
  <c r="F6"/>
  <c r="F5"/>
  <c r="F16" s="1"/>
  <c r="F17" l="1"/>
  <c r="F18" s="1"/>
  <c r="F19" l="1"/>
  <c r="F20" s="1"/>
  <c r="F18" i="32" l="1"/>
  <c r="F17"/>
  <c r="F16"/>
  <c r="F15"/>
  <c r="F14"/>
  <c r="F12"/>
  <c r="F11"/>
  <c r="C11"/>
  <c r="F10"/>
  <c r="C10"/>
  <c r="F9"/>
  <c r="F8"/>
  <c r="F7"/>
  <c r="F6"/>
  <c r="F5"/>
  <c r="F19" s="1"/>
  <c r="F20" s="1"/>
  <c r="F21" s="1"/>
  <c r="F22" s="1"/>
  <c r="F23" s="1"/>
  <c r="C19" i="6" l="1"/>
  <c r="F19" s="1"/>
  <c r="F18"/>
  <c r="F17"/>
  <c r="C16"/>
  <c r="F16" s="1"/>
  <c r="F14"/>
  <c r="F13"/>
  <c r="F12"/>
  <c r="F11"/>
  <c r="F10"/>
  <c r="F9"/>
  <c r="F8"/>
  <c r="F7"/>
  <c r="F6"/>
  <c r="F5"/>
  <c r="F21" l="1"/>
  <c r="F22" s="1"/>
  <c r="F23" s="1"/>
  <c r="F24" s="1"/>
  <c r="F25" s="1"/>
  <c r="F36" i="10" l="1"/>
  <c r="C36"/>
  <c r="F35"/>
  <c r="F34"/>
  <c r="F32"/>
  <c r="F31"/>
  <c r="F30"/>
  <c r="E29"/>
  <c r="F29" s="1"/>
  <c r="E28"/>
  <c r="F28" s="1"/>
  <c r="E27"/>
  <c r="F27" s="1"/>
  <c r="E26"/>
  <c r="F26" s="1"/>
  <c r="F25"/>
  <c r="F24"/>
  <c r="F23"/>
  <c r="F22"/>
  <c r="C22"/>
  <c r="F21"/>
  <c r="E20"/>
  <c r="F20" s="1"/>
  <c r="C19"/>
  <c r="F19" s="1"/>
  <c r="F18"/>
  <c r="F17"/>
  <c r="F16"/>
  <c r="F15"/>
  <c r="F14"/>
  <c r="F13"/>
  <c r="C13"/>
  <c r="F12"/>
  <c r="F11"/>
  <c r="F10"/>
  <c r="F9"/>
  <c r="F8"/>
  <c r="F7"/>
  <c r="F6"/>
  <c r="F5"/>
  <c r="F37" s="1"/>
  <c r="F38" s="1"/>
  <c r="F39" s="1"/>
  <c r="F40" s="1"/>
  <c r="F41" s="1"/>
  <c r="E20" i="26"/>
  <c r="C20"/>
  <c r="F20" s="1"/>
  <c r="B20"/>
  <c r="E19"/>
  <c r="C19"/>
  <c r="F19" s="1"/>
  <c r="B19"/>
  <c r="E18"/>
  <c r="C18"/>
  <c r="F18" s="1"/>
  <c r="B18"/>
  <c r="E17"/>
  <c r="C17"/>
  <c r="F17" s="1"/>
  <c r="B17"/>
  <c r="E16"/>
  <c r="C16"/>
  <c r="F16" s="1"/>
  <c r="B16"/>
  <c r="A15"/>
  <c r="E14"/>
  <c r="C14"/>
  <c r="F14" s="1"/>
  <c r="B14"/>
  <c r="A14"/>
  <c r="E13"/>
  <c r="D13"/>
  <c r="C13"/>
  <c r="F13" s="1"/>
  <c r="E12"/>
  <c r="D12"/>
  <c r="C12"/>
  <c r="F12" s="1"/>
  <c r="B12"/>
  <c r="A12"/>
  <c r="E11"/>
  <c r="C11"/>
  <c r="F11" s="1"/>
  <c r="B11"/>
  <c r="A11"/>
  <c r="E10"/>
  <c r="C10"/>
  <c r="F10" s="1"/>
  <c r="B10"/>
  <c r="A10"/>
  <c r="E9"/>
  <c r="C9"/>
  <c r="F9" s="1"/>
  <c r="A9"/>
  <c r="E8"/>
  <c r="C8"/>
  <c r="F8" s="1"/>
  <c r="A8"/>
  <c r="E7"/>
  <c r="C7"/>
  <c r="F7" s="1"/>
  <c r="A7"/>
  <c r="E6"/>
  <c r="C6"/>
  <c r="F6" s="1"/>
  <c r="B6"/>
  <c r="A6"/>
  <c r="F5"/>
  <c r="F21" s="1"/>
  <c r="E5"/>
  <c r="D5"/>
  <c r="C5"/>
  <c r="B5"/>
  <c r="A5"/>
  <c r="A3"/>
  <c r="F22" l="1"/>
  <c r="F23" s="1"/>
  <c r="F24" l="1"/>
  <c r="F25" s="1"/>
  <c r="E21" i="25" l="1"/>
  <c r="C21"/>
  <c r="F21" s="1"/>
  <c r="B21"/>
  <c r="E20"/>
  <c r="C20"/>
  <c r="F20" s="1"/>
  <c r="B20"/>
  <c r="E19"/>
  <c r="C19"/>
  <c r="F19" s="1"/>
  <c r="B19"/>
  <c r="E18"/>
  <c r="C18"/>
  <c r="F18" s="1"/>
  <c r="B18"/>
  <c r="E17"/>
  <c r="C17"/>
  <c r="F17" s="1"/>
  <c r="B17"/>
  <c r="A16"/>
  <c r="E15"/>
  <c r="C15"/>
  <c r="F15" s="1"/>
  <c r="B15"/>
  <c r="A15"/>
  <c r="E14"/>
  <c r="D14"/>
  <c r="C14"/>
  <c r="F14" s="1"/>
  <c r="E13"/>
  <c r="D13"/>
  <c r="C13"/>
  <c r="F13" s="1"/>
  <c r="B13"/>
  <c r="A13"/>
  <c r="E12"/>
  <c r="C12"/>
  <c r="F12" s="1"/>
  <c r="B12"/>
  <c r="A12"/>
  <c r="E11"/>
  <c r="C11"/>
  <c r="F11" s="1"/>
  <c r="B11"/>
  <c r="A11"/>
  <c r="E10"/>
  <c r="C10"/>
  <c r="F10" s="1"/>
  <c r="A10"/>
  <c r="E9"/>
  <c r="C9"/>
  <c r="F9" s="1"/>
  <c r="A9"/>
  <c r="E8"/>
  <c r="C8"/>
  <c r="F8" s="1"/>
  <c r="A8"/>
  <c r="E7"/>
  <c r="C7"/>
  <c r="F7" s="1"/>
  <c r="B7"/>
  <c r="A7"/>
  <c r="E6"/>
  <c r="C6"/>
  <c r="F6" s="1"/>
  <c r="B6"/>
  <c r="A6"/>
  <c r="E5"/>
  <c r="D5"/>
  <c r="C5"/>
  <c r="F5" s="1"/>
  <c r="F22" s="1"/>
  <c r="B5"/>
  <c r="A5"/>
  <c r="A3"/>
  <c r="F23" l="1"/>
  <c r="F24" s="1"/>
  <c r="F25" l="1"/>
  <c r="F26" s="1"/>
  <c r="E22" i="24" l="1"/>
  <c r="C22"/>
  <c r="F22" s="1"/>
  <c r="E21"/>
  <c r="C21"/>
  <c r="F21" s="1"/>
  <c r="E20"/>
  <c r="C20"/>
  <c r="F20" s="1"/>
  <c r="E19"/>
  <c r="C19"/>
  <c r="F19" s="1"/>
  <c r="E18"/>
  <c r="C18"/>
  <c r="F18" s="1"/>
  <c r="A17"/>
  <c r="E16"/>
  <c r="C16"/>
  <c r="F16" s="1"/>
  <c r="B16"/>
  <c r="A16"/>
  <c r="E15"/>
  <c r="D15"/>
  <c r="C15"/>
  <c r="F15" s="1"/>
  <c r="E14"/>
  <c r="D14"/>
  <c r="C14"/>
  <c r="F14" s="1"/>
  <c r="B14"/>
  <c r="A14"/>
  <c r="E13"/>
  <c r="C13"/>
  <c r="F13" s="1"/>
  <c r="B13"/>
  <c r="A13"/>
  <c r="E12"/>
  <c r="C12"/>
  <c r="F12" s="1"/>
  <c r="B12"/>
  <c r="A12"/>
  <c r="E11"/>
  <c r="C11"/>
  <c r="F11" s="1"/>
  <c r="A11"/>
  <c r="E10"/>
  <c r="C10"/>
  <c r="F10" s="1"/>
  <c r="B10"/>
  <c r="A10"/>
  <c r="E9"/>
  <c r="C9"/>
  <c r="F9" s="1"/>
  <c r="B9"/>
  <c r="A9"/>
  <c r="E8"/>
  <c r="C8"/>
  <c r="F8" s="1"/>
  <c r="B8"/>
  <c r="A8"/>
  <c r="E7"/>
  <c r="C7"/>
  <c r="F7" s="1"/>
  <c r="A7"/>
  <c r="E6"/>
  <c r="C6"/>
  <c r="F6" s="1"/>
  <c r="B6"/>
  <c r="A6"/>
  <c r="E5"/>
  <c r="C5"/>
  <c r="F5" s="1"/>
  <c r="B5"/>
  <c r="A5"/>
  <c r="A3"/>
  <c r="F23" l="1"/>
  <c r="F24" l="1"/>
  <c r="F25" s="1"/>
  <c r="F26" l="1"/>
  <c r="F27" s="1"/>
  <c r="C12" i="23" l="1"/>
  <c r="F12" s="1"/>
  <c r="C11"/>
  <c r="F11" s="1"/>
  <c r="C10"/>
  <c r="F10" s="1"/>
  <c r="E8"/>
  <c r="C8"/>
  <c r="F8" s="1"/>
  <c r="B8"/>
  <c r="A8"/>
  <c r="E7"/>
  <c r="C7"/>
  <c r="F7" s="1"/>
  <c r="B7"/>
  <c r="A7"/>
  <c r="E6"/>
  <c r="C6"/>
  <c r="F6" s="1"/>
  <c r="B6"/>
  <c r="A6"/>
  <c r="E5"/>
  <c r="C5"/>
  <c r="F5" s="1"/>
  <c r="F13" s="1"/>
  <c r="B5"/>
  <c r="A5"/>
  <c r="A3"/>
  <c r="F14" l="1"/>
  <c r="F15" s="1"/>
  <c r="F16" l="1"/>
  <c r="F17" s="1"/>
  <c r="E20" i="21" l="1"/>
  <c r="C20"/>
  <c r="F20" s="1"/>
  <c r="E19"/>
  <c r="C19"/>
  <c r="F19" s="1"/>
  <c r="E18"/>
  <c r="C18"/>
  <c r="F18" s="1"/>
  <c r="E17"/>
  <c r="C17"/>
  <c r="F17" s="1"/>
  <c r="E16"/>
  <c r="C16"/>
  <c r="F16" s="1"/>
  <c r="A15"/>
  <c r="E14"/>
  <c r="C14"/>
  <c r="F14" s="1"/>
  <c r="B14"/>
  <c r="A14"/>
  <c r="E13"/>
  <c r="D13"/>
  <c r="C13"/>
  <c r="F13" s="1"/>
  <c r="E12"/>
  <c r="D12"/>
  <c r="C12"/>
  <c r="F12" s="1"/>
  <c r="B12"/>
  <c r="A12"/>
  <c r="E11"/>
  <c r="C11"/>
  <c r="F11" s="1"/>
  <c r="B11"/>
  <c r="A11"/>
  <c r="E10"/>
  <c r="C10"/>
  <c r="F10" s="1"/>
  <c r="B10"/>
  <c r="A10"/>
  <c r="E9"/>
  <c r="C9"/>
  <c r="F9" s="1"/>
  <c r="A9"/>
  <c r="E8"/>
  <c r="C8"/>
  <c r="F8" s="1"/>
  <c r="A8"/>
  <c r="E7"/>
  <c r="C7"/>
  <c r="F7" s="1"/>
  <c r="A7"/>
  <c r="E6"/>
  <c r="C6"/>
  <c r="F6" s="1"/>
  <c r="B6"/>
  <c r="A6"/>
  <c r="E5"/>
  <c r="C5"/>
  <c r="F5" s="1"/>
  <c r="F21" s="1"/>
  <c r="B5"/>
  <c r="A5"/>
  <c r="A3"/>
  <c r="F22" l="1"/>
  <c r="F23" s="1"/>
  <c r="F24" l="1"/>
  <c r="F25" s="1"/>
  <c r="E20" i="20" l="1"/>
  <c r="C20"/>
  <c r="F20" s="1"/>
  <c r="B20"/>
  <c r="A20"/>
  <c r="E19"/>
  <c r="C19"/>
  <c r="F19" s="1"/>
  <c r="B19"/>
  <c r="A19"/>
  <c r="E18"/>
  <c r="C18"/>
  <c r="F18" s="1"/>
  <c r="B18"/>
  <c r="A18"/>
  <c r="E17"/>
  <c r="C17"/>
  <c r="F17" s="1"/>
  <c r="B17"/>
  <c r="A17"/>
  <c r="E16"/>
  <c r="C16"/>
  <c r="F16" s="1"/>
  <c r="B16"/>
  <c r="A16"/>
  <c r="B15"/>
  <c r="A15"/>
  <c r="F14"/>
  <c r="E14"/>
  <c r="D14"/>
  <c r="C14"/>
  <c r="B14"/>
  <c r="A14"/>
  <c r="F13"/>
  <c r="E13"/>
  <c r="D13"/>
  <c r="C13"/>
  <c r="B13"/>
  <c r="A13"/>
  <c r="F12"/>
  <c r="E12"/>
  <c r="D12"/>
  <c r="C12"/>
  <c r="B12"/>
  <c r="A12"/>
  <c r="F11"/>
  <c r="E11"/>
  <c r="D11"/>
  <c r="C11"/>
  <c r="B11"/>
  <c r="A11"/>
  <c r="E10"/>
  <c r="C10"/>
  <c r="F10" s="1"/>
  <c r="B10"/>
  <c r="A10"/>
  <c r="E9"/>
  <c r="C9"/>
  <c r="F9" s="1"/>
  <c r="B9"/>
  <c r="A9"/>
  <c r="E8"/>
  <c r="C8"/>
  <c r="F8" s="1"/>
  <c r="B8"/>
  <c r="A8"/>
  <c r="E7"/>
  <c r="C7"/>
  <c r="F7" s="1"/>
  <c r="B7"/>
  <c r="A7"/>
  <c r="E6"/>
  <c r="C6"/>
  <c r="F6" s="1"/>
  <c r="B6"/>
  <c r="A6"/>
  <c r="E5"/>
  <c r="C5"/>
  <c r="F5" s="1"/>
  <c r="F21" s="1"/>
  <c r="B5"/>
  <c r="A5"/>
  <c r="A3"/>
  <c r="F22" l="1"/>
  <c r="F23" s="1"/>
  <c r="F24" l="1"/>
  <c r="F25" s="1"/>
  <c r="C12" i="19" l="1"/>
  <c r="F12" s="1"/>
  <c r="C11"/>
  <c r="F11" s="1"/>
  <c r="C10"/>
  <c r="F10" s="1"/>
  <c r="E8"/>
  <c r="C8"/>
  <c r="F8" s="1"/>
  <c r="B8"/>
  <c r="A8"/>
  <c r="E7"/>
  <c r="C7"/>
  <c r="F7" s="1"/>
  <c r="B7"/>
  <c r="A7"/>
  <c r="E6"/>
  <c r="C6"/>
  <c r="F6" s="1"/>
  <c r="B6"/>
  <c r="A6"/>
  <c r="E5"/>
  <c r="C5"/>
  <c r="F5" s="1"/>
  <c r="F13" s="1"/>
  <c r="B5"/>
  <c r="A5"/>
  <c r="A3"/>
  <c r="F14" l="1"/>
  <c r="F15" s="1"/>
  <c r="F16" l="1"/>
  <c r="F17" s="1"/>
  <c r="E16" i="18" l="1"/>
  <c r="C16"/>
  <c r="F16" s="1"/>
  <c r="B16"/>
  <c r="A16"/>
  <c r="E15"/>
  <c r="C15"/>
  <c r="F15" s="1"/>
  <c r="B15"/>
  <c r="A15"/>
  <c r="E14"/>
  <c r="C14"/>
  <c r="F14" s="1"/>
  <c r="B14"/>
  <c r="A14"/>
  <c r="E13"/>
  <c r="C13"/>
  <c r="F13" s="1"/>
  <c r="B13"/>
  <c r="A13"/>
  <c r="E12"/>
  <c r="C12"/>
  <c r="F12" s="1"/>
  <c r="B12"/>
  <c r="A12"/>
  <c r="A11"/>
  <c r="E10"/>
  <c r="C10"/>
  <c r="F10" s="1"/>
  <c r="B10"/>
  <c r="A10"/>
  <c r="E9"/>
  <c r="C9"/>
  <c r="F9" s="1"/>
  <c r="B9"/>
  <c r="A9"/>
  <c r="E8"/>
  <c r="C8"/>
  <c r="F8" s="1"/>
  <c r="B8"/>
  <c r="A8"/>
  <c r="E7"/>
  <c r="C7"/>
  <c r="F7" s="1"/>
  <c r="B7"/>
  <c r="A7"/>
  <c r="E6"/>
  <c r="C6"/>
  <c r="F6" s="1"/>
  <c r="B6"/>
  <c r="A6"/>
  <c r="E5"/>
  <c r="D5"/>
  <c r="C5"/>
  <c r="F5" s="1"/>
  <c r="F17" s="1"/>
  <c r="B5"/>
  <c r="A5"/>
  <c r="A3"/>
  <c r="F18" l="1"/>
  <c r="F19" s="1"/>
  <c r="F20" l="1"/>
  <c r="F21" s="1"/>
  <c r="E10" i="17" l="1"/>
  <c r="C10"/>
  <c r="F10" s="1"/>
  <c r="E9"/>
  <c r="C9"/>
  <c r="F9" s="1"/>
  <c r="A8"/>
  <c r="E7"/>
  <c r="C7"/>
  <c r="F7" s="1"/>
  <c r="A7"/>
  <c r="E6"/>
  <c r="C6"/>
  <c r="F6" s="1"/>
  <c r="A6"/>
  <c r="E5"/>
  <c r="C5"/>
  <c r="F5" s="1"/>
  <c r="A3"/>
  <c r="F11" l="1"/>
  <c r="F12" l="1"/>
  <c r="F13" s="1"/>
  <c r="F14" l="1"/>
  <c r="F15" s="1"/>
  <c r="E16" i="16" l="1"/>
  <c r="C16"/>
  <c r="F16" s="1"/>
  <c r="B16"/>
  <c r="A16"/>
  <c r="E15"/>
  <c r="C15"/>
  <c r="F15" s="1"/>
  <c r="B15"/>
  <c r="A15"/>
  <c r="E14"/>
  <c r="C14"/>
  <c r="F14" s="1"/>
  <c r="B14"/>
  <c r="A14"/>
  <c r="E13"/>
  <c r="C13"/>
  <c r="F13" s="1"/>
  <c r="B13"/>
  <c r="A13"/>
  <c r="E12"/>
  <c r="C12"/>
  <c r="F12" s="1"/>
  <c r="B12"/>
  <c r="A12"/>
  <c r="A11"/>
  <c r="E10"/>
  <c r="C10"/>
  <c r="F10" s="1"/>
  <c r="B10"/>
  <c r="A10"/>
  <c r="E9"/>
  <c r="C9"/>
  <c r="F9" s="1"/>
  <c r="B9"/>
  <c r="A9"/>
  <c r="E8"/>
  <c r="C8"/>
  <c r="F8" s="1"/>
  <c r="B8"/>
  <c r="A8"/>
  <c r="E7"/>
  <c r="C7"/>
  <c r="F7" s="1"/>
  <c r="B7"/>
  <c r="A7"/>
  <c r="E6"/>
  <c r="C6"/>
  <c r="F6" s="1"/>
  <c r="B6"/>
  <c r="A6"/>
  <c r="E5"/>
  <c r="D5"/>
  <c r="C5"/>
  <c r="F5" s="1"/>
  <c r="F17" s="1"/>
  <c r="B5"/>
  <c r="A5"/>
  <c r="A3"/>
  <c r="F18" l="1"/>
  <c r="F19" s="1"/>
  <c r="F20" l="1"/>
  <c r="F21" s="1"/>
  <c r="E16" i="15" l="1"/>
  <c r="C16"/>
  <c r="F16" s="1"/>
  <c r="B16"/>
  <c r="A16"/>
  <c r="E15"/>
  <c r="C15"/>
  <c r="F15" s="1"/>
  <c r="B15"/>
  <c r="A15"/>
  <c r="E14"/>
  <c r="C14"/>
  <c r="F14" s="1"/>
  <c r="B14"/>
  <c r="A14"/>
  <c r="E13"/>
  <c r="C13"/>
  <c r="F13" s="1"/>
  <c r="B13"/>
  <c r="A13"/>
  <c r="E12"/>
  <c r="C12"/>
  <c r="F12" s="1"/>
  <c r="B12"/>
  <c r="A12"/>
  <c r="A11"/>
  <c r="E10"/>
  <c r="C10"/>
  <c r="F10" s="1"/>
  <c r="B10"/>
  <c r="A10"/>
  <c r="E9"/>
  <c r="C9"/>
  <c r="F9" s="1"/>
  <c r="B9"/>
  <c r="A9"/>
  <c r="E8"/>
  <c r="C8"/>
  <c r="F8" s="1"/>
  <c r="B8"/>
  <c r="A8"/>
  <c r="E7"/>
  <c r="C7"/>
  <c r="F7" s="1"/>
  <c r="B7"/>
  <c r="A7"/>
  <c r="E6"/>
  <c r="C6"/>
  <c r="F6" s="1"/>
  <c r="B6"/>
  <c r="A6"/>
  <c r="E5"/>
  <c r="D5"/>
  <c r="C5"/>
  <c r="F5" s="1"/>
  <c r="F17" s="1"/>
  <c r="B5"/>
  <c r="A5"/>
  <c r="A3"/>
  <c r="F18" l="1"/>
  <c r="F19" s="1"/>
  <c r="F20" l="1"/>
  <c r="F21" s="1"/>
  <c r="F20" i="13" l="1"/>
  <c r="F19"/>
  <c r="F18"/>
  <c r="F17"/>
  <c r="F16"/>
  <c r="F14"/>
  <c r="F13"/>
  <c r="F12"/>
  <c r="F11"/>
  <c r="F10"/>
  <c r="F9"/>
  <c r="F8"/>
  <c r="F7"/>
  <c r="F6"/>
  <c r="F5"/>
  <c r="F21" s="1"/>
  <c r="F22" s="1"/>
  <c r="F23" s="1"/>
  <c r="F24" s="1"/>
  <c r="F25" s="1"/>
  <c r="A5" i="14" l="1"/>
  <c r="B5"/>
  <c r="C5"/>
  <c r="D5"/>
  <c r="E5"/>
  <c r="F5"/>
  <c r="A6"/>
  <c r="B6"/>
  <c r="C6"/>
  <c r="E6"/>
  <c r="F6" s="1"/>
  <c r="A7"/>
  <c r="B7"/>
  <c r="C7"/>
  <c r="E7"/>
  <c r="F7"/>
  <c r="A8"/>
  <c r="C8"/>
  <c r="E8"/>
  <c r="F8"/>
  <c r="A9"/>
  <c r="B9"/>
  <c r="C9"/>
  <c r="E9"/>
  <c r="F9" s="1"/>
  <c r="A10"/>
  <c r="B10"/>
  <c r="C10"/>
  <c r="E10"/>
  <c r="F10"/>
  <c r="A11"/>
  <c r="B11"/>
  <c r="C11"/>
  <c r="E11"/>
  <c r="F11" s="1"/>
  <c r="A12"/>
  <c r="B12"/>
  <c r="C12"/>
  <c r="F12" s="1"/>
  <c r="E12"/>
  <c r="A13"/>
  <c r="B13"/>
  <c r="C13"/>
  <c r="E13"/>
  <c r="F13" s="1"/>
  <c r="C14"/>
  <c r="E14"/>
  <c r="F14"/>
  <c r="A15"/>
  <c r="B15"/>
  <c r="C15"/>
  <c r="E15"/>
  <c r="F15" s="1"/>
  <c r="A16"/>
  <c r="C17"/>
  <c r="E17"/>
  <c r="F17" s="1"/>
  <c r="C18"/>
  <c r="E18"/>
  <c r="F18"/>
  <c r="C19"/>
  <c r="E19"/>
  <c r="F19" s="1"/>
  <c r="C20"/>
  <c r="E20"/>
  <c r="F20"/>
  <c r="C21"/>
  <c r="E21"/>
  <c r="F21" s="1"/>
  <c r="F22" l="1"/>
  <c r="F23" l="1"/>
  <c r="F24" s="1"/>
  <c r="F25" l="1"/>
  <c r="F26" s="1"/>
</calcChain>
</file>

<file path=xl/sharedStrings.xml><?xml version="1.0" encoding="utf-8"?>
<sst xmlns="http://schemas.openxmlformats.org/spreadsheetml/2006/main" count="1626" uniqueCount="420">
  <si>
    <t>RANCHI MUNICIPAL CORPORATION, RANCHI</t>
  </si>
  <si>
    <t>Bill of Quantity</t>
  </si>
  <si>
    <t>S.No.</t>
  </si>
  <si>
    <t>Particulars or item of works</t>
  </si>
  <si>
    <t>Quantity</t>
  </si>
  <si>
    <t>Unit</t>
  </si>
  <si>
    <t xml:space="preserve">Rate          (in Rs.) </t>
  </si>
  <si>
    <t>Amount                     (in Rs.)</t>
  </si>
  <si>
    <t>cum</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</si>
  <si>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</si>
  <si>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MT</t>
  </si>
  <si>
    <t>M²</t>
  </si>
  <si>
    <t>CARRIAGE OF MATERIALS</t>
  </si>
  <si>
    <t>(i)</t>
  </si>
  <si>
    <t>Sand  (Lead Upto 49km)</t>
  </si>
  <si>
    <t>M³</t>
  </si>
  <si>
    <t>(ii)</t>
  </si>
  <si>
    <t>Dust  (Lead 22KM)</t>
  </si>
  <si>
    <t>(iii)</t>
  </si>
  <si>
    <t>Stone Boulder (Lead 36  KM)</t>
  </si>
  <si>
    <t>(iv)</t>
  </si>
  <si>
    <t>Stone Chips (Lead 22KM)</t>
  </si>
  <si>
    <t>(v)</t>
  </si>
  <si>
    <t>Earth (Lead 01 KM)</t>
  </si>
  <si>
    <t>Total</t>
  </si>
  <si>
    <t>Add 18% GST</t>
  </si>
  <si>
    <t>Add 1% Labour Cess</t>
  </si>
  <si>
    <t>Say</t>
  </si>
  <si>
    <t xml:space="preserve">    J.E.</t>
  </si>
  <si>
    <t>A.E</t>
  </si>
  <si>
    <t>E.E.</t>
  </si>
  <si>
    <t>R.M.C.</t>
  </si>
  <si>
    <t>R.M.C</t>
  </si>
  <si>
    <t xml:space="preserve">BILL OF QUANTITY </t>
  </si>
  <si>
    <t>Name of Work :- CONSTRUCTION OF RCC DRAIN AT HINDPIRI, ANUS GALI (JAHANGIR GALI) MOLLAHID HUOSE TO ASHARAF HOUSE UNDER WARD NO-22.</t>
  </si>
  <si>
    <t>Sl. No.</t>
  </si>
  <si>
    <t>Items of work</t>
  </si>
  <si>
    <t>Qnty.</t>
  </si>
  <si>
    <t>Rate</t>
  </si>
  <si>
    <t>Amount</t>
  </si>
  <si>
    <t>Labour for cleaning the work site before and after work etc.</t>
  </si>
  <si>
    <t>Each</t>
  </si>
  <si>
    <t xml:space="preserve">    2         5.10.2</t>
  </si>
  <si>
    <t>Dismantling plain cement or lime concrete work including ………do…….complete as per specification and  direction of E/I.</t>
  </si>
  <si>
    <t>3       5.1.1.</t>
  </si>
  <si>
    <t>4.         5.1.10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</si>
  <si>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t>
  </si>
  <si>
    <t>5.       5.6.8</t>
  </si>
  <si>
    <t>Supplying and laying (properly as per design and drawing )rip-rap with good quality of boulders duly packed including the cost of materials,royalty all taxes etc.but excluding the cost of carriage, all complete as per specification and direction of E/I.</t>
  </si>
  <si>
    <t>6.                                    5.3.10</t>
  </si>
  <si>
    <t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t>
  </si>
  <si>
    <t>7                  5.3.11</t>
  </si>
  <si>
    <t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t>
  </si>
  <si>
    <t>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Drain and Slab :- @2.25kg/cft</t>
  </si>
  <si>
    <t>5.5.4(a)</t>
  </si>
  <si>
    <t>Drain and Slab :- @2.25kg/cft</t>
  </si>
  <si>
    <t>9                 5.3.17.1</t>
  </si>
  <si>
    <t>Centering and shuttering including strutting, propping etc. and removal of from for Foundations,footings, bases of columns, etc. for mass concrete.</t>
  </si>
  <si>
    <t>Local Sand (Lead 14 KM)</t>
  </si>
  <si>
    <t>TOTAL</t>
  </si>
  <si>
    <t>GST (18%)</t>
  </si>
  <si>
    <t>L. CESS (1%)</t>
  </si>
  <si>
    <t xml:space="preserve">RANCHI MUNICIPAL CORPORATION,RANCHI
</t>
  </si>
  <si>
    <t xml:space="preserve">Bill of Quantity
</t>
  </si>
  <si>
    <t>Sl No.</t>
  </si>
  <si>
    <t xml:space="preserve">Rate              (in Rs.) </t>
  </si>
  <si>
    <t>Amount                  (in Rs.)</t>
  </si>
  <si>
    <t>Labour for site clearence before and after the work etc.</t>
  </si>
  <si>
    <t xml:space="preserve">Providing and laying in position concrete of specified grade excluding the cost of centering and shuttering- All work upto plinth level : 1:1½:3 (1 cemet : 1½ coarse sand (zone-iii) : 3 graded stone aggregate 20mm nominal size )  </t>
  </si>
  <si>
    <t>SAND-LEAD-49KM</t>
  </si>
  <si>
    <t>CHIPS-LEAD-22KM</t>
  </si>
  <si>
    <t>Add 1% Labour cess</t>
  </si>
  <si>
    <t>SAND (Kanchi River)-LEAD-47KM</t>
  </si>
  <si>
    <t>STONE CHIPS-LEAD-20KM</t>
  </si>
  <si>
    <t>EARTH-LEAD-01KM</t>
  </si>
  <si>
    <t>BILL OF QUANTITY</t>
  </si>
  <si>
    <t>SAND-LEAD-42KM</t>
  </si>
  <si>
    <t>LOCAL SAND-LEAD-18KM</t>
  </si>
  <si>
    <t>STONE CHIPS-LEAD-15KM</t>
  </si>
  <si>
    <t>BOULDER-LEAD-29KM</t>
  </si>
  <si>
    <t>EARTH-LEAD-1km</t>
  </si>
  <si>
    <t>Add 12% GST</t>
  </si>
  <si>
    <t>Name of Work :- Construction of Statue Platform and Renovation of Piawoo at Gowshala Chowk under ward no -20</t>
  </si>
  <si>
    <t>1
5.10.2</t>
  </si>
  <si>
    <t>Dismantling plain cement or lime concrete work including stacking serviceable materials in countable stacks within 15M. lead and disposal of unserviceable materials with all leads all complete as per direction of E/l.</t>
  </si>
  <si>
    <t>2
5.1.1 +5.1.2</t>
  </si>
  <si>
    <t>Earthwork in excavation in foundation trenches in ordinary soil (vide classification of soil item-A) and disposal of excavated earth as obtained to a distance upto 50 M. including all lifts, levelling, ramming the foudation trenches, removing roots of trees, shrubs all complete as per approved design, building specification and direction of E/l.</t>
  </si>
  <si>
    <t>3
5.1.10</t>
  </si>
  <si>
    <t>Providing coarse clean sand in filling in foundation trenches or in plinth including ramming and watering in layers not exceeding 150mm thick with all leads and lifts including' cost of all materials, labour, royalty and taxes all complete as per building specification and direction of E/l (Mode of measurement complacted volume).</t>
  </si>
  <si>
    <t>4
5.6.1</t>
  </si>
  <si>
    <t>Providing designation 75 A one brick flat soling joints filled with local sand including cost of watering taxes royalty all complete as per building specification and direction of E/l.</t>
  </si>
  <si>
    <t>m2</t>
  </si>
  <si>
    <t>5
5.3.9.2</t>
  </si>
  <si>
    <t>Providing and laying in position specified grade of reinforced cement concrete, excluding the cost of centering, shuttering, finishing and reinforcement - All work upto Plinth level. (1:2:4)</t>
  </si>
  <si>
    <t>m3</t>
  </si>
  <si>
    <t>6
5.2.2</t>
  </si>
  <si>
    <t>Providing designation 75 A brick work in C.M. (1:4) in foundation and plinth with approved quality of clean coarse sand of F.M. 2 to 2.5 including providing 10mm thick mortar joints, cost of screening materials, raking out joints to 15mm depth, curing, taxes and royalty all complete as per building specification and direction of E/l.</t>
  </si>
  <si>
    <t>7
BCD
5.3.5</t>
  </si>
  <si>
    <t xml:space="preserve">Providing and Laying damp-proof-coarse 50mm thick with cement concrete 1:2:4 (1 cement : 2 coarse sand( zone III) : 4 graded stone aggregate 20mm nominal size). 
</t>
  </si>
  <si>
    <t>8
5.2.11</t>
  </si>
  <si>
    <t>Providing designation 75 A brick work in C.M. (1:6) in superstructure with approved quality of clean coarse sand of F.M. 2 to2.5 including providing 10 mm thick mortar joints cost of screening materials , scafolding , raking out joints to 15mm depth curing, taxes and royalty all complete as per building specification and direction of E/l.</t>
  </si>
  <si>
    <t>9
5.3.11</t>
  </si>
  <si>
    <t>Providing and laying in position specified grade of reinforced cement concrete work in beams, lintels, bands etc. above plinth level upto floor five level, excluding the cost of centering, shuttering, finishing and reinforcement.
1:1.5:3 (1 cement:1.5 coarse sand (zone III) :3 graded stone aggregate 20 mm nominal size)</t>
  </si>
  <si>
    <t>10
BCD
5.3.17.3</t>
  </si>
  <si>
    <t xml:space="preserve">Centering and shuttering including strutting, propping etc. and removal of form for -
</t>
  </si>
  <si>
    <t>11
BCD
5.5.4
5.5.5</t>
  </si>
  <si>
    <t>Providing tor steel reinforcement of 8mm. dia. rods as per approved design and drawing with cutting, bending and binding with annealed wire with cost of wire, removal of rust, placing the rods in position (excluding carriage of bars to work site) all complete as per building specification and direction of E/l. TMT Fe 500 {(Only Valid for TATA(Tiscon), SAIL, JSPL, Electrosteel steels ltd.Bokaro and Vizag(RINL)} .   And above dia.
(i) 8 mm dia</t>
  </si>
  <si>
    <t>(ii) 10 mm dia</t>
  </si>
  <si>
    <t>12
BCD
5.7.14</t>
  </si>
  <si>
    <t>Providing 12mm thick water proof cement plaster (1:3) with clean coarse sand of F.M. 1.5 with 5% cico or any other approved water proofing compoundincluding taxes and royalty all complete as per building specification and direction of E/l.</t>
  </si>
  <si>
    <t>13
BCD
5.6.23</t>
  </si>
  <si>
    <t>Providing and laying 6mm precast white glazed tiles in walls over 12mm cement mortar (1:3) and jointed with grey cement slurry flush pointed with white cement including rubbing, polishing and cost of curing, taxes and royalty all complete as per building specification and direciton of E/l.
Grade "A" grade white tiles</t>
  </si>
  <si>
    <t>14
BCD
5.6.28</t>
  </si>
  <si>
    <t>Providing and laying Doublecharge Vitrified floor tiles in different sizes (thickness to be specified by manufacturer) with water absorption less than 0.08 % and conforming to I.S. 15622/ISO 13006 of approved make in all colours &amp; shade etc. complete
Size of Tiles 600 x 600 mm</t>
  </si>
  <si>
    <t>15
DSR
10.28</t>
  </si>
  <si>
    <t xml:space="preserve"> Providing and fixing stainless steel ( Grade 304) railing made of Hollow tubes, channels, plates etc., including welding, grinding, buffing, polishing and making curvature (wherever required) and fitting the same with necessary stainless steel nuts and bolts complete, i/c fixing the railing with necessary accessories &amp; stainless steel dash fasteners , stainless steel bolts etc., of required size, on the top of the floor or the side of waist slab with suitable arrangement as per approval of Engineer-in charge, (for payment purpose only weight of stainless steel members shall be considered excluding fixing accessories such as nuts, bolts, fasteners etc.).</t>
  </si>
  <si>
    <t>kg</t>
  </si>
  <si>
    <t>16
BCD
5.5.33</t>
  </si>
  <si>
    <t>Supplying, fitting and fixing 40x40x4mm M.S. angle, hoisting in steps, welded with 6mm dia and 75mm long M.S. rods, anchorage fixed in concrete steps at the time of casting, including taxes all complete as per direction of E/l.</t>
  </si>
  <si>
    <t>m</t>
  </si>
  <si>
    <t>17
BCD
5.8.45</t>
  </si>
  <si>
    <t>Providing two coats of synthetic enamel paint of approved shade and make over steel surface including cleaning the surface thoroughly, scaffolding and taxes all complete as per building specification and direciton of E/l.</t>
  </si>
  <si>
    <t>Cow and Calf Statue 4'x3' feet height</t>
  </si>
  <si>
    <t>L.S.</t>
  </si>
  <si>
    <t>19
COMMON
Pg. 186</t>
  </si>
  <si>
    <t>Labour for clearance of site</t>
  </si>
  <si>
    <t>md</t>
  </si>
  <si>
    <t>20
BCD
5.5.29</t>
  </si>
  <si>
    <t>Supplying, fitting and fixing 20 guage G.C.I, sheet gate fitted on M.S. Angle frame of size 60x60x6mm. including cost of fabrication , providing necessary locking arrangement with haskal and domny duly fixed in P.C.C. (1:2:4) blocks of required size, applying a priming red lead paint over steel work, taxes all complete as per drawing specification and direction of E/l.</t>
  </si>
  <si>
    <t>21
DSR 13.80</t>
  </si>
  <si>
    <t xml:space="preserve">Providing and applying white cement based putty of average thickness 1 mm, of approved brand and manufacturer, over the plastered wall surface to  prepare the surface even and smooth complete.    </t>
  </si>
  <si>
    <t>22
DSR
13.47.1</t>
  </si>
  <si>
    <t>Finishing walls with Premium Acrylic Smooth exterior paint with Silicone additives of required shade:  New work (Two or more coats applied @ 1.43 ltr/10 sqm over and includingbase coat of water proofing cement paint applied @ 2.20 kg/10 sqm)</t>
  </si>
  <si>
    <t>23
DSR
4.17</t>
  </si>
  <si>
    <t>Making plinth protection 50mm thick of cement concrete 1:3:6 (1 cement : 3 coarse sand (zone-III) derived from natural sources : 6 graded stone aggregate 20 mm nominal size derived from natural sources) over 75mm thick bed of dry brick ballast 40 mm nominal size, well rammed and consolidated and grouted with fine sand, including necessary excavation, levelling &amp; dressing &amp; finishing the top smooth.</t>
  </si>
  <si>
    <t>24
DSR
18.7.4</t>
  </si>
  <si>
    <t>Providing and fixing Chlorinated Polyvinyl Chloride (CPVC) pipes, having thermal stability for hot &amp; cold water supply, including all CPVC plain &amp; brass threaded fittings, including fixing the pipe with clamps at 1.00 m spacing. This includes jointing of pipes &amp; fittings with one step CPVC solvent cement and testing of joints complete as per direction of Engineer in Charge.</t>
  </si>
  <si>
    <t>25
3.1.6</t>
  </si>
  <si>
    <t>Providing and fixing brass/C.I. stop cock of approved quality all complete as per specification and direction of E/I.</t>
  </si>
  <si>
    <t>nos</t>
  </si>
  <si>
    <t>26
3.1.5.1</t>
  </si>
  <si>
    <t>Providing and fixing male ended 15mm dia brass bib cock of approved quality (wt. not less than 350 grams) with extra socket all complete as per specification and direction of E/I.</t>
  </si>
  <si>
    <t>water filter</t>
  </si>
  <si>
    <t>LS</t>
  </si>
  <si>
    <t>Carriage of Materials</t>
  </si>
  <si>
    <t>i</t>
  </si>
  <si>
    <t>SAND (49 km)</t>
  </si>
  <si>
    <t>ii</t>
  </si>
  <si>
    <t>CHIPS (22 km)</t>
  </si>
  <si>
    <t>iii</t>
  </si>
  <si>
    <t>BRICKS (8 km)</t>
  </si>
  <si>
    <t>0 %</t>
  </si>
  <si>
    <t>Name of Work :- Improvement of pcc road and construction of rcc drain at km mallik road from house of sundar kachhap to house of ahalad under ward no 11.</t>
  </si>
  <si>
    <t xml:space="preserve">1
</t>
  </si>
  <si>
    <t>Providing labour for cleaning of site as per specification and direction of E/I.</t>
  </si>
  <si>
    <t>NOS</t>
  </si>
  <si>
    <t xml:space="preserve">   2
5.1.1
BCD</t>
  </si>
  <si>
    <t>Earth work in excavation in foundation trenches in ordinary soil (vide classification of soil item-A) and disposal of excavated earth as obtained to a distance up to 50 M. including all lifts, levelling,ramming the foundation trenches removing roots of trees, shrubs all complete as per approved design, building specification and direction of E/I</t>
  </si>
  <si>
    <t>M3</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</si>
  <si>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</si>
  <si>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4
5.6.8</t>
  </si>
  <si>
    <t>Supplying and laying (properly as per design and drawing ) rip-rap with good quality of boulders duty packed including the cost of materials royalty all taxes etc. but excluding the cost of carriage all complete as per specification and direction of E/I.</t>
  </si>
  <si>
    <t>5
5.3.10</t>
  </si>
  <si>
    <t xml:space="preserve">Providing RCC-M200 with nominal mix of (1:1.5:3) in foundation and plinth with approved quality of stone --do--all   complete as per drawing and Technical specification. </t>
  </si>
  <si>
    <t>6
5.3.11</t>
  </si>
  <si>
    <t>Providing precast R.C.C. M-200 with nominal mix of (1:1.5:3) in slab of desired size with approved quality of stone chips and clean coarse sand of F.M. 2.5 to 3 including cost of curing ,shuttering ,carrying the slab manually to site and laying in position all complete (but excluding the cost of reinforcement )taxes and royalty all complete as per building specifications and direction of E/I.</t>
  </si>
  <si>
    <t xml:space="preserve">7
5.5.4 </t>
  </si>
  <si>
    <t>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</si>
  <si>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8
5.5.5(a)</t>
  </si>
  <si>
    <t>Providing Tor steel reinforcement of 8mm,10mm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</si>
  <si>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9
5.3.17.1</t>
  </si>
  <si>
    <t xml:space="preserve">Centering and Shuttering including struting,propping etc and removal of from for  Foundation, footing s bases of Coloumns etc for mass Concrete.                             </t>
  </si>
  <si>
    <t>M2</t>
  </si>
  <si>
    <t xml:space="preserve">10
5.3.2.1
</t>
  </si>
  <si>
    <t>Providing PCC M 200  with nominal mix of (1:1.5:3) in foundation with approved quality of stone chips 20mm to 6mm size graded and  clean coarse sand of F.M. 2.5 to 3 including screening, shuttering, mixing cement concrete in mixer and placing in position and ramming  till compactin is achieved ,  curing side shuttering , taxes adn royalty all complete as per building  specification and direction of E/I.</t>
  </si>
  <si>
    <t>Carriage of materials</t>
  </si>
  <si>
    <t>I</t>
  </si>
  <si>
    <t xml:space="preserve"> Sand with lead of 49 km</t>
  </si>
  <si>
    <t>II</t>
  </si>
  <si>
    <t>Sand local lead 14 km</t>
  </si>
  <si>
    <t>III</t>
  </si>
  <si>
    <t>Stone Boulder with lead of 34 km</t>
  </si>
  <si>
    <t>IV</t>
  </si>
  <si>
    <t>Stone chips with lead of 22 km</t>
  </si>
  <si>
    <t>V</t>
  </si>
  <si>
    <t>Earth (lead 01 KM)</t>
  </si>
  <si>
    <t>Name of Work :- Construction of R.C.C. drain with Cover Slab at Mausibari tangra toli  in Ward No-37</t>
  </si>
  <si>
    <t xml:space="preserve">   1
5.1.1 JBCD</t>
  </si>
  <si>
    <t>Earth Work Excavation for structure as per technical specification clause 305.1 including setting out ,construction of shoring and brading in foundation trenches complete as per drawing and Technical specification.</t>
  </si>
  <si>
    <t>2
M-004</t>
  </si>
  <si>
    <t>Providing stone dust  sand in filling in foundation trenches or in plinth including ramming and watering in layers not exceeding 150 mm thick with all leads and lifts including cost of all materials ,labour, royalty and taxes all complete as per building specification and direction of E/I.</t>
  </si>
  <si>
    <t>3.
5.6.8</t>
  </si>
  <si>
    <t>4.
5.3.10</t>
  </si>
  <si>
    <t>Providing RCC-M200 with nominal mix of (1:1.5:3) in foundation and plinth with approved quality of stone --do--all   complete as per drawing and Technical specification. .</t>
  </si>
  <si>
    <t>5.
5.3.11</t>
  </si>
  <si>
    <t>Providing  R.C.C. M-200 with nominal mix of (1:1.5:3) in slab of desired size with approved quality of stone chips and clean coarse sand of F.M. 2.5 to 3 excluding cost of shuttering finishing and  reinforcement all complete as per building specifications and direction of E/I.</t>
  </si>
  <si>
    <t xml:space="preserve">6.
5.5.4 </t>
  </si>
  <si>
    <t xml:space="preserve">Providing Tor steel reinforcement of 8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8 mm dia of bar 40% of (Base+Wall) </t>
  </si>
  <si>
    <t xml:space="preserve">7.
5.5.5 </t>
  </si>
  <si>
    <t>Providing Tor steel reinforcement of 10 mm,12 mm &amp; 16 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10mm dia of bar 60%</t>
  </si>
  <si>
    <t>8.
5.3.17.1</t>
  </si>
  <si>
    <t xml:space="preserve">Centring and shuttering including strutting ,propping etc and removal of form from Foundations,footings,base of column etc </t>
  </si>
  <si>
    <t xml:space="preserve"> Sand with lead of 47 km</t>
  </si>
  <si>
    <t>Stone Dust lead 20 km</t>
  </si>
  <si>
    <t>iv</t>
  </si>
  <si>
    <t>Stone chips with lead of 20 km</t>
  </si>
  <si>
    <t>v</t>
  </si>
  <si>
    <t>Name of Work :- Construction of PCC road at A.N Singh road no-01 under W-48 of RMC Ranchi</t>
  </si>
  <si>
    <t>1 .(.J.B.C.D.5.1.1.+5.1.2.)</t>
  </si>
  <si>
    <t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t>
  </si>
  <si>
    <t>2.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</si>
  <si>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t>
  </si>
  <si>
    <t>3.        (J.B.C.D.-8.6.8)</t>
  </si>
  <si>
    <t xml:space="preserve"> Supplying and laying (properly as per design and drawing )rip-rap with good quality of boulders duly packed including the cost of materials,royalty all taxes etc.but excluding the cost of carriage, all complete as per specification and direction of E/I.</t>
  </si>
  <si>
    <t>4   5.3.17</t>
  </si>
  <si>
    <t>Centering and shuttering including strutting, propping etc. and removal of form for Foundation, footing, bases of columns, etc for mass concrete</t>
  </si>
  <si>
    <t>5  JSR
5.3.1.2</t>
  </si>
  <si>
    <t>Providing and laying in position cement concrete of specfied grade excluding the cost of centering and shuttering-All work up to plinth level.1:1.5:3(1Cement:1.5coarse sand(Zone-III): 3 graded stone aggregate 20mm nominal size)</t>
  </si>
  <si>
    <t>SAND LOCAL-LEAD-18KM</t>
  </si>
  <si>
    <t>CHIPS-LEAD-15KM</t>
  </si>
  <si>
    <t>Add GST 18%</t>
  </si>
  <si>
    <t>Add 1% L/Cess</t>
  </si>
  <si>
    <t>Name of Work :- Construction of  PCC Road and slab at bharti compound from house of sagar chetri to house of kishor pradhan, PCC road infront of kuku apartment and PCC road at kumhar toli infront of sunil sinha house under ward no.- 48.</t>
  </si>
  <si>
    <t>4   5.3.17.1</t>
  </si>
  <si>
    <t>5   JSR
5.3.1.2</t>
  </si>
  <si>
    <t>6                  5.3.11</t>
  </si>
  <si>
    <t>10MM</t>
  </si>
  <si>
    <t xml:space="preserve">SAY RS. </t>
  </si>
  <si>
    <t>Name of Work :- Supplying fitting and fixing of R.C.C Bench under ward No-42 different place.</t>
  </si>
  <si>
    <t>SL.NO.</t>
  </si>
  <si>
    <t>ITEMS OF WORK</t>
  </si>
  <si>
    <t>Qty</t>
  </si>
  <si>
    <t>Supplying fitting and fixing of R.C.C Bench all complete as per specification and direction of E/I.</t>
  </si>
  <si>
    <t>NO.</t>
  </si>
  <si>
    <t>Sl.No.</t>
  </si>
  <si>
    <t>Items of Work</t>
  </si>
  <si>
    <t>Qnty</t>
  </si>
  <si>
    <t>3     BCD 5.1.10</t>
  </si>
  <si>
    <t>4       5.6.8</t>
  </si>
  <si>
    <t>8 mm dia. Bar</t>
  </si>
  <si>
    <t>10 mm dia bar</t>
  </si>
  <si>
    <t>CF</t>
  </si>
  <si>
    <t>BF</t>
  </si>
  <si>
    <t>7     5.3.11</t>
  </si>
  <si>
    <t>8      5.5.5.</t>
  </si>
  <si>
    <t>9    5.3.17.1</t>
  </si>
  <si>
    <t>SAND LEAD 49 KM</t>
  </si>
  <si>
    <t>LOCAL SAND LEAD 13 KM</t>
  </si>
  <si>
    <t>m4</t>
  </si>
  <si>
    <t>CHIPS LEAD 22 KM</t>
  </si>
  <si>
    <t>m5</t>
  </si>
  <si>
    <t>BOULDER LEAD 36 KM</t>
  </si>
  <si>
    <t>m6</t>
  </si>
  <si>
    <t>m7</t>
  </si>
  <si>
    <t xml:space="preserve"> Total</t>
  </si>
  <si>
    <t>BOQ FOR CONSTRUCTION OF BITUMINIOUS ROAD AT SHIV GANJ  UNDER WARD NO.21</t>
  </si>
  <si>
    <t>Tack Coat    Providing and applying TACK COAT with bitumen emulsion using emulsion pressure distributor at the rate of 0.20 kg per sqm on the prepared bituminous/granular surface cleaned with mechanical broom.</t>
  </si>
  <si>
    <t>Bituminous Macadam                  Providing ,laying and Rolling BITUMINOUS MACADAM  with 100-120 TPH hot mix plant producing an average output of 75 tonnes per hour using crushed aggregates of specified grading premixed with bituminous binder, transporting the hot mix to work site, laiying with a hydrostatic paver finisher with the sensor control to the  required grade, level and alignment, rolling with smooth wheeled, vibratory and tandem rollers to acheive the desired compaction as per MoRTH specification clause No.501.6 and 501.7 complete in all respects.</t>
  </si>
  <si>
    <t>Bituminous Concrete                                  Providing and laying BITUMINOUS CONCRETE with 100-120 TPH batch type hot mix plant producing an average output of 75 tonnes per hour using crushed aggregates of specified grading, premixed with bituminous binder @ 5.4 to 5.6 per cent of mix and filler, transporting the hot mix to work site, laying with hydrostatic paver finisher with sensor control to the required grade, level and alignment, rolling with smooth wheeled, vibratory and tandem rollers to desired compaction as per MoRTH specification clause No. 509 complete in all respects.</t>
  </si>
  <si>
    <t>Road Marking with Hot Applied Thermoplastic Compound with Refletrorising Glass Beds on Bitumenous Surface                                                         Providing and laying of hot applied thermoplastic compound 2.5 mm thick including reflectorising glass beads @ 250 gms per sqm area, thickness of 2.5 is exclusive of surface applied glass beads as per IRC:35. The finished surface to be level, uniform and free from streaks and holes.</t>
  </si>
  <si>
    <t>Stone Chips (Lead 22 KM)</t>
  </si>
  <si>
    <t>BILL OF QUANTITY LAYING OF PAVER BLOCK AT NEW PUNDAG ROAD NO. 10 UNDER WARD NO 41</t>
  </si>
  <si>
    <t>PARTICULARS OR ITEM OF WORKS</t>
  </si>
  <si>
    <t>QUANTITY</t>
  </si>
  <si>
    <t>UNIT</t>
  </si>
  <si>
    <t xml:space="preserve">RATE      (in Rs.) </t>
  </si>
  <si>
    <t>AMOUNT(in Rs.)</t>
  </si>
  <si>
    <t>1. (.J.B.C.D.5.1.1.+5.1.2.)</t>
  </si>
  <si>
    <t>Providing and laying factory made chamfered edge 80mm thick cement concrete paver block  of M-30 grade with approved colour design and pattern using in footpath ,parks ,lawns,drive ways or lighttraffic parking etc,of required strength thickness and size shape made by table vibratory method using PU mould ,laid in required coloure and pattern over 50mm thick compacted bed of sand ,compacting and proper embedding laying of interlocking  paver blocks into the sand bedding layer through vibratory compaction by using plate vibrator,filling the joints with sand cutting of paver blocks as per required size and pattern ,finishing and sweeing extra sand complete all as per direction of  E/I</t>
  </si>
  <si>
    <t>3. J.B.C.D.5.3.2.1</t>
  </si>
  <si>
    <t>Providing P.C.C.M-200 in nominal mix of (1:1.5:3) in foundation with approved quality of stone chips 20mm to 6mm size graded and clean coarse sand of F.M.2.5 to 3 including screening, shuttering,mixing cement concrete in mixer and placing in position, vibrating,striking, curing taxes and royalty all complete as per specification and direction of E/I.</t>
  </si>
  <si>
    <t>9.CARRIAGE OF MATERIALS</t>
  </si>
  <si>
    <t>ADD 18% GST</t>
  </si>
  <si>
    <t>ADD 1% LABOUR CESS</t>
  </si>
  <si>
    <t>Say Rs.</t>
  </si>
  <si>
    <t>NAME OF WORK- CONSTRUCTION OF PCC ROAD AT  MAHADEV TOLI  UNDER WARD46.</t>
  </si>
  <si>
    <t xml:space="preserve">Rate      (in Rs.) </t>
  </si>
  <si>
    <t>Amount   (in Rs.)</t>
  </si>
  <si>
    <t>JSR
5.3.1.2</t>
  </si>
  <si>
    <t>BILL OF QUANINTY</t>
  </si>
  <si>
    <t>NAME OF WORK- CONSTRUCTION OF RCC DRAIN AT ANANTPUR ROAD NO 5 NEAR SRI GOPAL APARTMENT.</t>
  </si>
  <si>
    <t>1       5.10.2</t>
  </si>
  <si>
    <t>Dismantling  plain cement concrete or lime concrete work including stacking serviceable material in countable stacks withnn 15M.lead and disposal of unserviceable material with all lead completed as per direction of E/I.</t>
  </si>
  <si>
    <t>2 .(.J.B.C.D.5.1.1.+5.1.2.)</t>
  </si>
  <si>
    <t>3.        (J.B.C.D.-5.1.10)</t>
  </si>
  <si>
    <t>4.        (J.B.C.D.-8.6.8)</t>
  </si>
  <si>
    <t xml:space="preserve">5       JSR
5.3.10 </t>
  </si>
  <si>
    <t>Reinforced cement concrete work in walls(any thickness), including attached pilasters, buttresses, plinth and string courses, fillets, columns, pillars, piers, abutments, posts and struts etc. above plinth level up to floor five level, excluding cost of centering, shuttering, finishing and reinforcement: 1:1.5:3(1 cement : 1-5 coarse sand (Zone-III) : 3 graded stone aggregate 20 mmnominaol size)</t>
  </si>
  <si>
    <t>6  JSR  5.3.11</t>
  </si>
  <si>
    <t>Reinforced cement concrete work in beams, suspended floors, roofs having slope up to 15 landings, balconies, shelves, chajjas, lintels, band, plain window sills, staircases and spiral stair cases above plinth level up to floor five level, excluding the cost of centering, shuttering, finishing and reinforcement: with 1.1.5.3</t>
  </si>
  <si>
    <t xml:space="preserve">7  5.5.5   </t>
  </si>
  <si>
    <t>Providing Tor steel reinforcement of 8mm, 10mmbars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</si>
  <si>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8              5.3.17</t>
  </si>
  <si>
    <t>Centering and shuttering including strutting, propping etc. and removal of form for</t>
  </si>
  <si>
    <t>5.3.17.1</t>
  </si>
  <si>
    <t>Foundation, footing, bases of columns, etc for mass concrete</t>
  </si>
  <si>
    <t>GST 18%</t>
  </si>
  <si>
    <t>ADD 1% L.CESS</t>
  </si>
  <si>
    <r>
      <t xml:space="preserve">RANCHI MUNICIPAL CORPORATION
</t>
    </r>
    <r>
      <rPr>
        <b/>
        <sz val="12"/>
        <color theme="1"/>
        <rFont val="Cambria"/>
        <family val="1"/>
        <scheme val="major"/>
      </rPr>
      <t>DETAIL ESTIMATE FOR CONSTRUCTION OF R.C.C drain near KARBLA CHOWK  shahid bhai home via aadob store to basar nala   UNDER  WARD NO. 16</t>
    </r>
  </si>
  <si>
    <t>QTY</t>
  </si>
  <si>
    <t xml:space="preserve">RATE          (in Rs.) </t>
  </si>
  <si>
    <t>AMOUNT 
(in Rs.)</t>
  </si>
  <si>
    <t>Providing Mandays for site clearence, unskilled labour</t>
  </si>
  <si>
    <t>No.</t>
  </si>
  <si>
    <t xml:space="preserve">2.
5.1.1.                     </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</si>
  <si>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</si>
  <si>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3.        5.1.10</t>
  </si>
  <si>
    <t>4.           5.6.8</t>
  </si>
  <si>
    <t>5.                                    5.3.10</t>
  </si>
  <si>
    <t>7                      5.5.5</t>
  </si>
  <si>
    <t>Providing Tor steel reinforcement of  10mm and 12mm dia rods  as per approved …...........do…..........TMT Fe 500(Only valid for Tata (Tiscon),SAIL,JSPL,Electrosteel Steels Ltd, Bokaro and Vizag(RINL)</t>
  </si>
  <si>
    <t xml:space="preserve"> 5.5.5 (b) 10mm dia bar 60%</t>
  </si>
  <si>
    <t xml:space="preserve">  5.5.4 (a) 8 mm dia bar 40%</t>
  </si>
  <si>
    <t>8                5.3.17.1</t>
  </si>
  <si>
    <t>(i) SAND-LEAD-49km</t>
  </si>
  <si>
    <t>(ii) SAND LOCAL-LEAD-13 KM</t>
  </si>
  <si>
    <t>(iii) CHIPS-LEAD-22 km</t>
  </si>
  <si>
    <t>(iv) BOULDER-LEAD-36 km</t>
  </si>
  <si>
    <t>(v) EARTH-LEAD-1km</t>
  </si>
  <si>
    <t>18% GST</t>
  </si>
  <si>
    <t>1% Labour Cess</t>
  </si>
  <si>
    <t>G. Total</t>
  </si>
  <si>
    <t>SAY</t>
  </si>
  <si>
    <t>BILL OF QAUNTITY</t>
  </si>
  <si>
    <t>1            5.1.1</t>
  </si>
  <si>
    <t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</si>
  <si>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</si>
  <si>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</si>
  <si>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5.6.8</t>
  </si>
  <si>
    <t>Supplying and laying (properly as per design and drawing) rip-rap with good  quality of boulders duly packed including the cost of materials, royalty all taxes etc. but excluding the cost of carriage all complete as per specification and direction of E/I.</t>
  </si>
  <si>
    <t>4
5.3.10</t>
  </si>
  <si>
    <t>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
1:1.5:3 (1 Cement : 1.5 coarse sand zone(III): 3 graded stone aggregate 20mm nominal size)</t>
  </si>
  <si>
    <t>5 5.3.11</t>
  </si>
  <si>
    <t>Renforced cement conrete work in beams, suspended floors, having slopeup to 15' landing, balconies, shelves, chajjas, lintels, bands, plain windowsill ---------do----do-------E/I
1:1.5:3 (1 Cement : 1.5 coarse sand zone(III): 3 graded stone aggregate 20mm nominal size)</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</si>
  <si>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t>
  </si>
  <si>
    <t>(A)5.5.4</t>
  </si>
  <si>
    <t>08mm dia 40%</t>
  </si>
  <si>
    <t>M.T.</t>
  </si>
  <si>
    <t>(B)5.5.5(a)</t>
  </si>
  <si>
    <t>10mm dia 60%</t>
  </si>
  <si>
    <t>7
5.3.17.1</t>
  </si>
  <si>
    <t>Centering and Shuttering including strutting, propping etc and removal of from for  
 Foundation , footing , bases of columns etc for mass concrete.</t>
  </si>
  <si>
    <t>Sand  (Lead Upto 49 km)</t>
  </si>
  <si>
    <r>
      <t>M</t>
    </r>
    <r>
      <rPr>
        <vertAlign val="superscript"/>
        <sz val="11"/>
        <rFont val="Century"/>
        <family val="1"/>
      </rPr>
      <t>3</t>
    </r>
  </si>
  <si>
    <t>Sand Local (Lead 13 KM)</t>
  </si>
  <si>
    <t>Add 1% Labour Cess (+) :</t>
  </si>
  <si>
    <t>Grand Total</t>
  </si>
  <si>
    <t xml:space="preserve">Say RS. </t>
  </si>
  <si>
    <t>Add 18%  GST</t>
  </si>
  <si>
    <t>Add 1 % L Cess</t>
  </si>
  <si>
    <t xml:space="preserve">1% L Cess </t>
  </si>
  <si>
    <t>Stone Dust (Lead 22 KM)</t>
  </si>
  <si>
    <t>RANCHI  MUNICIPAL  CORPORATION,  RANCHI</t>
  </si>
  <si>
    <t>NAME OF WORK:- CONSTRUCTION OF RCC DRAIN AT BANIYA TOLI ROAD NO 1 HOUSE OF NIRAJ ANUP TOPPO TO HOUSE OF SURAJ JI UNDER WARD NO-2 OF RMC, RANCHI</t>
  </si>
  <si>
    <t>1                 5.1.1</t>
  </si>
  <si>
    <t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t>
  </si>
  <si>
    <t>2.     5.1.10</t>
  </si>
  <si>
    <t>3.         5.6.8</t>
  </si>
  <si>
    <t>4          B.C.D. 5.3.10</t>
  </si>
  <si>
    <t>Reinforced cement concrete work in walls of specified grade excluding the cost of centering and shuttering - All work up to plinth level 1:1.5:3 ( 1 cement: 1.5 course sand (zone- III): 3 graded stone agreegate 20mm nominal size)</t>
  </si>
  <si>
    <t>5.         B.C.D. 5.3.11</t>
  </si>
  <si>
    <t>Reinforced cement concrete work in beam roofs of specified grade excluding the cost of centering and shuttering - All work up to plinth level 1:1.5:3 ( 1 cement: 1.5 course sand (zone- III): 3 graded stone agreegate 20mm nominal size)</t>
  </si>
  <si>
    <t>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8MM</t>
  </si>
  <si>
    <t>10mm</t>
  </si>
  <si>
    <t>7            5.3.17.1</t>
  </si>
  <si>
    <t>`````````````````````````````````````</t>
  </si>
  <si>
    <t>LOCAL SAND-LEAD-13KM</t>
  </si>
  <si>
    <t>STONE CHIPS-LEAD-22KM</t>
  </si>
  <si>
    <t>BOULDER-LEAD-36KM</t>
  </si>
  <si>
    <t>EARTH-LEAD-1KM</t>
  </si>
  <si>
    <t xml:space="preserve">GST18% </t>
  </si>
  <si>
    <t>L CESS 1%</t>
  </si>
  <si>
    <r>
      <rPr>
        <b/>
        <sz val="11"/>
        <color theme="1"/>
        <rFont val="Century"/>
        <family val="1"/>
      </rPr>
      <t>Name of Work</t>
    </r>
    <r>
      <rPr>
        <sz val="11"/>
        <color theme="1"/>
        <rFont val="Century"/>
        <family val="1"/>
      </rPr>
      <t xml:space="preserve"> :- Construction of P.C.C road  in BrindaVan Nagar Shri Ram Chowk near Mundla  pahar from Bakunth Singh House to Vikash Singh House Under Ward No.34</t>
    </r>
  </si>
  <si>
    <t xml:space="preserve">1.            5.1.1 </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</si>
  <si>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</si>
  <si>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2.       Sl.No.4 M-004 P.No.36 BCD</t>
  </si>
  <si>
    <t>Stone Crusher Dust finer than 3 mm with not more than 10% Passing 0.075 sieve at quarry.        Baasic Rate  = 300.00                     add 15.95%(C.P+O.H+W.C.)=347.85</t>
  </si>
  <si>
    <t>3.      5.6.8</t>
  </si>
  <si>
    <t>4. 5.3.1.1</t>
  </si>
  <si>
    <r>
      <t xml:space="preserve">Providing and Layng in Position cement concrete of specified grade excluding the cost of centring and shuttering……All work Upto plinth Level:                       </t>
    </r>
    <r>
      <rPr>
        <b/>
        <sz val="10"/>
        <color theme="1"/>
        <rFont val="Century"/>
        <family val="1"/>
      </rPr>
      <t>1:1.5:3 (1 Cement :1.5 Coarse Cement sand  (Zone III): 3 Graded stone agregate 20 mm nominal Size)</t>
    </r>
  </si>
  <si>
    <t>5  5.3.17.1</t>
  </si>
  <si>
    <t>Centering and Shuttering including struting,propping etc and removal of from for   Foundation, footing s bases of Coloumns etc for mass Concrete</t>
  </si>
  <si>
    <t>Sand  (Lead Upto 47 km)</t>
  </si>
  <si>
    <r>
      <t>M</t>
    </r>
    <r>
      <rPr>
        <vertAlign val="superscript"/>
        <sz val="10"/>
        <rFont val="Century"/>
        <family val="1"/>
      </rPr>
      <t>3</t>
    </r>
  </si>
  <si>
    <t>Sand (Lead 16 KM)</t>
  </si>
  <si>
    <t>Stone Boulder (Lead 34  KM)</t>
  </si>
  <si>
    <t>Stone Chips (Lead 20 KM)</t>
  </si>
  <si>
    <t>Add 18% GST (+)</t>
  </si>
  <si>
    <t>Add 1% Labour Cess (+)</t>
  </si>
  <si>
    <t xml:space="preserve">dk;Z dk uke%&amp;osn ukjk;.k xyh ,oa yksgjk dkspk esa efLtn ds ihNs ukyh dk fuekZ.k dk;ZA </t>
  </si>
  <si>
    <t>BOQ FOR CONSTRUCTION OF  RCC DRAIN AT PRESS GALI NEAR MOTI MASJID ROAD  UNDER WARD NO 21</t>
  </si>
  <si>
    <t>NAME OF WORK:-Construction of drain at Different Mohallah in Harmu Housing Colony (i) EWS 132 to EWS 140 and (ii) HI 192 to HI 197  Under Ward No. 25.</t>
  </si>
  <si>
    <t>.</t>
  </si>
  <si>
    <t>I 5.10.3</t>
  </si>
  <si>
    <t>Dismentalling of Rienforced Cement Concrete and………..Do…..E/I.</t>
  </si>
  <si>
    <t>2.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</si>
  <si>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</si>
  <si>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Stone Crusher Dust finer than 3 mm with not more than 10% Passing 0.075 sieve at quarry.        Baasic Rate  = 300.00                     add 15.95%(C.P+O.H.+W.C)=347.85</t>
  </si>
  <si>
    <t>4.      8.6.8</t>
  </si>
  <si>
    <t>5.    5.3.1.2</t>
  </si>
  <si>
    <t>1:1.5:3 (1 Cement :2 Coarse Cement sand  (Zone III): 3Graded stone agregate 20 mm nominal Size)</t>
  </si>
  <si>
    <t>6                5.2.34</t>
  </si>
  <si>
    <t>Providing rough dressed course stone masonry in cement mortar (1:4) in foundation and plinth with hammer dressed stone ……………………………. all complete as per specification and direction of E/I</t>
  </si>
  <si>
    <t>7               5.7.11          +          5.7.12</t>
  </si>
  <si>
    <t>Providing 25mm thick cement plaster (1:4) with clean course sand F.M 1.5 includin screening curing with all leads and lifts of water, scaffoling taxes and royality all complete as per specification and direction of E/I with 1.5 mm cement punning</t>
  </si>
  <si>
    <t>8. 5.3.11</t>
  </si>
  <si>
    <t xml:space="preserve">Reinforced cement concrete work in walls(any thickness),including attached pilasters, buttresses,plinth and string courses,fillets columns,pillars,piers,abutments,posts and struts etc.above plinth level up to floor five level,excluding cost of centering,shuttering,finishing and reinforcement:    1:1.5:3(1 cement :1.5 coarse sand(zoneIII):3 graded stone aggregate                        </t>
  </si>
  <si>
    <t>9. 5.5.5 (b)</t>
  </si>
  <si>
    <t>Providing Tor steel reinforcement of 8 mm &amp; 10 mm dia rods as per approved design and drawing  ………..do………TMT Fe500(Only Valid for Tata(Tiscon),Sail,JSPL,Electrosteel Steels Ltd. Bokaro and Vizag(RINL))</t>
  </si>
  <si>
    <t>10  5.3.17.1</t>
  </si>
  <si>
    <t xml:space="preserve">Centering and Shuttering including struting,propping etc and removal of from for  Foundation, footing s bases of Coloumns etc for mass Concrete                     </t>
  </si>
  <si>
    <r>
      <t>M</t>
    </r>
    <r>
      <rPr>
        <b/>
        <vertAlign val="superscript"/>
        <sz val="10"/>
        <rFont val="Century"/>
        <family val="1"/>
      </rPr>
      <t>3</t>
    </r>
  </si>
  <si>
    <t>Stone Dust (Lead 20 KM)</t>
  </si>
  <si>
    <t>Stone Boulder (Lead 34 KM)</t>
  </si>
  <si>
    <t>Shilanyas Board</t>
  </si>
  <si>
    <t>Nos</t>
  </si>
  <si>
    <t>Add 18% GST (+) :</t>
  </si>
  <si>
    <r>
      <t xml:space="preserve">RANCHI MUNICIPAL CORPORATION
</t>
    </r>
    <r>
      <rPr>
        <b/>
        <sz val="12"/>
        <color theme="1"/>
        <rFont val="Cambria"/>
        <family val="1"/>
        <scheme val="major"/>
      </rPr>
      <t>DETAIL ESTIMATE FOR CONSTRUCTION OF R.C.C drain  and pcc road  at badshah lodge gali purulia road  UNDER  WARD NO. 17</t>
    </r>
  </si>
  <si>
    <t>5.
 5.3.1.1</t>
  </si>
  <si>
    <t>Providing and laying in position cement concrete of specified grade excluding the cost of excluding cost of centring,shuttring-All work up to plinth level;1:1.5:3(1cement:1.5 coarse sand(zone-lll):3 grade stone agreegate 20mm nominal size)..........do…..all complete as per specification and direction of E/I.</t>
  </si>
</sst>
</file>

<file path=xl/styles.xml><?xml version="1.0" encoding="utf-8"?>
<styleSheet xmlns="http://schemas.openxmlformats.org/spreadsheetml/2006/main">
  <numFmts count="5">
    <numFmt numFmtId="43" formatCode="_(* #,##0.00_);_(* \(#,##0.00\);_(* &quot;-&quot;??_);_(@_)"/>
    <numFmt numFmtId="164" formatCode="&quot;₹&quot;\ #,##0.00"/>
    <numFmt numFmtId="165" formatCode="0.000"/>
    <numFmt numFmtId="166" formatCode="_ &quot;₹&quot;\ * #,##0_ ;_ &quot;₹&quot;\ * \-#,##0_ ;_ &quot;₹&quot;\ * &quot;-&quot;??_ ;_ @_ "/>
    <numFmt numFmtId="167" formatCode="0.0"/>
  </numFmts>
  <fonts count="82">
    <font>
      <sz val="11"/>
      <color theme="1"/>
      <name val="Calibri"/>
      <charset val="134"/>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Arial"/>
      <family val="2"/>
    </font>
    <font>
      <b/>
      <sz val="11"/>
      <color theme="1"/>
      <name val="Arial"/>
      <family val="2"/>
    </font>
    <font>
      <sz val="11"/>
      <color theme="1"/>
      <name val="Arial"/>
      <family val="2"/>
    </font>
    <font>
      <sz val="11"/>
      <name val="Arial"/>
      <family val="2"/>
    </font>
    <font>
      <b/>
      <sz val="12"/>
      <color theme="1"/>
      <name val="Calibri"/>
      <family val="2"/>
      <scheme val="minor"/>
    </font>
    <font>
      <sz val="12"/>
      <color theme="1"/>
      <name val="Calibri"/>
      <family val="2"/>
      <scheme val="minor"/>
    </font>
    <font>
      <b/>
      <sz val="14"/>
      <color theme="1"/>
      <name val="Calibri"/>
      <family val="2"/>
      <scheme val="minor"/>
    </font>
    <font>
      <b/>
      <sz val="11"/>
      <color theme="1"/>
      <name val="Century"/>
      <family val="1"/>
    </font>
    <font>
      <b/>
      <sz val="18"/>
      <color theme="1"/>
      <name val="Arial"/>
      <family val="2"/>
    </font>
    <font>
      <b/>
      <sz val="12"/>
      <color theme="1"/>
      <name val="Arial"/>
      <family val="2"/>
    </font>
    <font>
      <sz val="12"/>
      <color theme="1"/>
      <name val="Arial"/>
      <family val="2"/>
    </font>
    <font>
      <b/>
      <u/>
      <sz val="20"/>
      <color theme="1"/>
      <name val="Arial"/>
      <family val="2"/>
    </font>
    <font>
      <b/>
      <u/>
      <sz val="14"/>
      <color theme="1"/>
      <name val="Arial"/>
      <family val="2"/>
    </font>
    <font>
      <b/>
      <sz val="10"/>
      <color theme="1"/>
      <name val="Arial"/>
      <family val="2"/>
    </font>
    <font>
      <b/>
      <sz val="10"/>
      <name val="Arial"/>
      <family val="2"/>
    </font>
    <font>
      <sz val="10"/>
      <color theme="1"/>
      <name val="Arial"/>
      <family val="2"/>
    </font>
    <font>
      <sz val="10"/>
      <name val="Arial"/>
      <family val="2"/>
    </font>
    <font>
      <b/>
      <i/>
      <sz val="10"/>
      <color theme="1"/>
      <name val="Arial"/>
      <family val="2"/>
    </font>
    <font>
      <b/>
      <sz val="12"/>
      <name val="Arial"/>
      <family val="2"/>
    </font>
    <font>
      <b/>
      <sz val="20"/>
      <color theme="1"/>
      <name val="Arial"/>
      <family val="2"/>
    </font>
    <font>
      <b/>
      <i/>
      <sz val="11"/>
      <color theme="1"/>
      <name val="Arial"/>
      <family val="2"/>
    </font>
    <font>
      <b/>
      <sz val="11"/>
      <name val="Arial"/>
      <family val="2"/>
    </font>
    <font>
      <b/>
      <sz val="20"/>
      <color theme="1"/>
      <name val="Calibri"/>
      <family val="2"/>
      <scheme val="minor"/>
    </font>
    <font>
      <b/>
      <sz val="16"/>
      <color theme="1"/>
      <name val="Calibri"/>
      <family val="2"/>
      <scheme val="minor"/>
    </font>
    <font>
      <b/>
      <sz val="11"/>
      <color theme="1"/>
      <name val="Times New Roman"/>
      <family val="1"/>
    </font>
    <font>
      <b/>
      <sz val="20"/>
      <color theme="1"/>
      <name val="Century"/>
      <family val="1"/>
    </font>
    <font>
      <b/>
      <sz val="16"/>
      <color theme="1"/>
      <name val="Century"/>
      <family val="1"/>
    </font>
    <font>
      <sz val="11"/>
      <color theme="1"/>
      <name val="Century"/>
      <family val="1"/>
    </font>
    <font>
      <sz val="12"/>
      <name val="Calibri"/>
      <family val="2"/>
      <scheme val="minor"/>
    </font>
    <font>
      <b/>
      <sz val="14"/>
      <color theme="1"/>
      <name val="Century"/>
      <family val="1"/>
    </font>
    <font>
      <sz val="12"/>
      <name val="Arial"/>
      <family val="2"/>
    </font>
    <font>
      <b/>
      <sz val="9"/>
      <color theme="1"/>
      <name val="Century"/>
      <family val="1"/>
    </font>
    <font>
      <b/>
      <sz val="11"/>
      <color theme="1"/>
      <name val="Calibri"/>
      <family val="2"/>
    </font>
    <font>
      <b/>
      <i/>
      <u/>
      <sz val="11"/>
      <color theme="1"/>
      <name val="Calibri"/>
      <family val="2"/>
      <scheme val="minor"/>
    </font>
    <font>
      <sz val="9"/>
      <color theme="1"/>
      <name val="Times New Roman"/>
      <family val="1"/>
    </font>
    <font>
      <sz val="22"/>
      <color theme="1"/>
      <name val="Century"/>
      <family val="1"/>
    </font>
    <font>
      <sz val="9"/>
      <color theme="1"/>
      <name val="Calibri"/>
      <family val="2"/>
      <scheme val="minor"/>
    </font>
    <font>
      <b/>
      <sz val="18"/>
      <color theme="1"/>
      <name val="Century"/>
      <family val="1"/>
    </font>
    <font>
      <b/>
      <sz val="10"/>
      <color theme="1"/>
      <name val="Century"/>
      <family val="1"/>
    </font>
    <font>
      <sz val="10"/>
      <color theme="1"/>
      <name val="Century"/>
      <family val="1"/>
    </font>
    <font>
      <sz val="16"/>
      <color theme="1"/>
      <name val="Calibri"/>
      <family val="2"/>
      <scheme val="minor"/>
    </font>
    <font>
      <b/>
      <sz val="18"/>
      <color theme="1"/>
      <name val="Calibri"/>
      <family val="2"/>
      <scheme val="minor"/>
    </font>
    <font>
      <b/>
      <u/>
      <sz val="12"/>
      <color theme="1"/>
      <name val="Calibri"/>
      <family val="2"/>
      <scheme val="minor"/>
    </font>
    <font>
      <b/>
      <i/>
      <u/>
      <sz val="12"/>
      <color theme="1"/>
      <name val="Calibri"/>
      <family val="2"/>
      <scheme val="minor"/>
    </font>
    <font>
      <sz val="10"/>
      <color theme="1"/>
      <name val="Calibri"/>
      <family val="2"/>
      <scheme val="minor"/>
    </font>
    <font>
      <sz val="11"/>
      <color theme="1"/>
      <name val="Calibri"/>
      <charset val="134"/>
      <scheme val="minor"/>
    </font>
    <font>
      <b/>
      <u/>
      <sz val="11"/>
      <color theme="1"/>
      <name val="Cambria"/>
      <family val="1"/>
      <scheme val="major"/>
    </font>
    <font>
      <b/>
      <u/>
      <sz val="11"/>
      <color theme="1"/>
      <name val="Calibri"/>
      <family val="2"/>
      <scheme val="minor"/>
    </font>
    <font>
      <b/>
      <i/>
      <sz val="12"/>
      <color theme="1"/>
      <name val="Calibri"/>
      <family val="2"/>
      <scheme val="minor"/>
    </font>
    <font>
      <b/>
      <sz val="20"/>
      <color theme="1"/>
      <name val="Cambria"/>
      <family val="1"/>
      <scheme val="major"/>
    </font>
    <font>
      <b/>
      <sz val="12"/>
      <color theme="1"/>
      <name val="Cambria"/>
      <family val="1"/>
      <scheme val="major"/>
    </font>
    <font>
      <b/>
      <sz val="12"/>
      <color theme="1"/>
      <name val="Century"/>
      <family val="1"/>
    </font>
    <font>
      <b/>
      <sz val="12"/>
      <color theme="1"/>
      <name val="Calibri"/>
      <family val="2"/>
    </font>
    <font>
      <sz val="12"/>
      <color theme="1"/>
      <name val="Calibri"/>
      <family val="2"/>
    </font>
    <font>
      <b/>
      <i/>
      <sz val="14"/>
      <color theme="1"/>
      <name val="Calibri"/>
      <family val="2"/>
      <scheme val="minor"/>
    </font>
    <font>
      <sz val="11"/>
      <color theme="1"/>
      <name val="Calibri"/>
      <family val="2"/>
    </font>
    <font>
      <b/>
      <i/>
      <sz val="16"/>
      <color theme="1"/>
      <name val="Calibri"/>
      <family val="2"/>
    </font>
    <font>
      <b/>
      <u/>
      <sz val="20"/>
      <color theme="1"/>
      <name val="Century"/>
      <family val="1"/>
    </font>
    <font>
      <sz val="9"/>
      <color theme="1"/>
      <name val="Century"/>
      <family val="1"/>
    </font>
    <font>
      <sz val="8"/>
      <color theme="1"/>
      <name val="Century"/>
      <family val="1"/>
    </font>
    <font>
      <sz val="11"/>
      <name val="Century"/>
      <family val="1"/>
    </font>
    <font>
      <vertAlign val="superscript"/>
      <sz val="11"/>
      <name val="Century"/>
      <family val="1"/>
    </font>
    <font>
      <b/>
      <sz val="10"/>
      <color theme="1"/>
      <name val="Calibri"/>
      <family val="2"/>
      <scheme val="minor"/>
    </font>
    <font>
      <sz val="10"/>
      <color indexed="8"/>
      <name val="Calibri"/>
      <family val="2"/>
      <scheme val="minor"/>
    </font>
    <font>
      <sz val="18"/>
      <color theme="1"/>
      <name val="Century"/>
      <family val="1"/>
    </font>
    <font>
      <sz val="10.5"/>
      <color theme="1"/>
      <name val="Century"/>
      <family val="1"/>
    </font>
    <font>
      <sz val="10"/>
      <name val="Century"/>
      <family val="1"/>
    </font>
    <font>
      <vertAlign val="superscript"/>
      <sz val="10"/>
      <name val="Century"/>
      <family val="1"/>
    </font>
    <font>
      <sz val="20"/>
      <color theme="1"/>
      <name val="Calibri"/>
      <family val="2"/>
      <scheme val="minor"/>
    </font>
    <font>
      <b/>
      <sz val="14"/>
      <color theme="1"/>
      <name val="Kruti Dev 010"/>
    </font>
    <font>
      <b/>
      <sz val="10"/>
      <color theme="1"/>
      <name val="Times New Roman"/>
      <family val="1"/>
    </font>
    <font>
      <b/>
      <u/>
      <sz val="16"/>
      <color theme="1"/>
      <name val="Cambria"/>
      <family val="1"/>
      <scheme val="major"/>
    </font>
    <font>
      <b/>
      <u/>
      <sz val="16"/>
      <color theme="1"/>
      <name val="Calibri"/>
      <family val="2"/>
      <scheme val="minor"/>
    </font>
    <font>
      <sz val="8"/>
      <name val="Century"/>
      <family val="1"/>
    </font>
    <font>
      <b/>
      <sz val="10"/>
      <name val="Century"/>
      <family val="1"/>
    </font>
    <font>
      <b/>
      <vertAlign val="superscript"/>
      <sz val="10"/>
      <name val="Century"/>
      <family val="1"/>
    </font>
    <font>
      <b/>
      <sz val="8"/>
      <color theme="1"/>
      <name val="Century"/>
      <family val="1"/>
    </font>
    <font>
      <sz val="12"/>
      <color theme="1"/>
      <name val="Century"/>
      <family val="1"/>
    </font>
  </fonts>
  <fills count="7">
    <fill>
      <patternFill patternType="none"/>
    </fill>
    <fill>
      <patternFill patternType="gray125"/>
    </fill>
    <fill>
      <patternFill patternType="solid">
        <fgColor theme="0"/>
        <bgColor indexed="64"/>
      </patternFill>
    </fill>
    <fill>
      <patternFill patternType="solid">
        <fgColor rgb="FFA6A6A6"/>
        <bgColor indexed="64"/>
      </patternFill>
    </fill>
    <fill>
      <patternFill patternType="solid">
        <fgColor theme="1" tint="0.34998626667073579"/>
        <bgColor indexed="64"/>
      </patternFill>
    </fill>
    <fill>
      <patternFill patternType="solid">
        <fgColor theme="1" tint="0.499984740745262"/>
        <bgColor indexed="64"/>
      </patternFill>
    </fill>
    <fill>
      <patternFill patternType="solid">
        <fgColor theme="1" tint="0.249977111117893"/>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49" fillId="0" borderId="0" applyFont="0" applyFill="0" applyBorder="0" applyAlignment="0" applyProtection="0"/>
    <xf numFmtId="0" fontId="1" fillId="0" borderId="0"/>
  </cellStyleXfs>
  <cellXfs count="553">
    <xf numFmtId="0" fontId="0" fillId="0" borderId="0" xfId="0"/>
    <xf numFmtId="0" fontId="5" fillId="0" borderId="4" xfId="0" applyFont="1" applyBorder="1" applyAlignment="1">
      <alignment horizontal="center" vertical="center" wrapText="1"/>
    </xf>
    <xf numFmtId="0" fontId="5" fillId="0" borderId="4" xfId="0" applyFont="1" applyBorder="1" applyAlignment="1">
      <alignment horizontal="center" vertical="center"/>
    </xf>
    <xf numFmtId="164" fontId="5" fillId="0" borderId="4" xfId="0" applyNumberFormat="1" applyFont="1" applyBorder="1" applyAlignment="1">
      <alignment horizontal="center" vertical="center" wrapText="1"/>
    </xf>
    <xf numFmtId="0" fontId="6" fillId="0" borderId="4" xfId="0" applyFont="1" applyBorder="1" applyAlignment="1">
      <alignment horizontal="justify" vertical="top" wrapText="1"/>
    </xf>
    <xf numFmtId="2" fontId="5" fillId="0" borderId="4" xfId="0" applyNumberFormat="1" applyFont="1" applyBorder="1" applyAlignment="1">
      <alignment horizontal="center" vertical="center"/>
    </xf>
    <xf numFmtId="2" fontId="6" fillId="0" borderId="4" xfId="0" applyNumberFormat="1" applyFont="1" applyBorder="1" applyAlignment="1">
      <alignment horizontal="center" vertical="center"/>
    </xf>
    <xf numFmtId="164" fontId="5" fillId="0" borderId="4" xfId="0" applyNumberFormat="1" applyFont="1" applyBorder="1" applyAlignment="1">
      <alignment horizontal="center" vertical="center"/>
    </xf>
    <xf numFmtId="0" fontId="7" fillId="0" borderId="4" xfId="0" applyFont="1" applyBorder="1" applyAlignment="1" applyProtection="1">
      <alignment horizontal="justify" vertical="top"/>
      <protection locked="0"/>
    </xf>
    <xf numFmtId="0" fontId="6" fillId="0" borderId="4" xfId="0" applyFont="1" applyBorder="1" applyAlignment="1">
      <alignment horizontal="center" vertical="center" wrapText="1"/>
    </xf>
    <xf numFmtId="0" fontId="5" fillId="0" borderId="4" xfId="0" applyFont="1" applyBorder="1" applyAlignment="1">
      <alignment horizontal="justify" vertical="center" wrapText="1"/>
    </xf>
    <xf numFmtId="2" fontId="6" fillId="0" borderId="4" xfId="0" applyNumberFormat="1" applyFont="1" applyBorder="1" applyAlignment="1">
      <alignment horizontal="center"/>
    </xf>
    <xf numFmtId="2" fontId="6" fillId="0" borderId="4" xfId="0" applyNumberFormat="1" applyFont="1" applyBorder="1" applyAlignment="1">
      <alignment horizontal="right"/>
    </xf>
    <xf numFmtId="0" fontId="5" fillId="0" borderId="4" xfId="0" applyFont="1" applyBorder="1" applyAlignment="1">
      <alignment horizontal="center"/>
    </xf>
    <xf numFmtId="164" fontId="5" fillId="0" borderId="4" xfId="0" applyNumberFormat="1" applyFont="1" applyBorder="1" applyAlignment="1">
      <alignment horizontal="center"/>
    </xf>
    <xf numFmtId="0" fontId="5" fillId="0" borderId="4" xfId="0" applyFont="1" applyBorder="1"/>
    <xf numFmtId="0" fontId="8" fillId="0" borderId="0" xfId="0" applyFont="1"/>
    <xf numFmtId="0" fontId="9" fillId="0" borderId="0" xfId="0" applyFont="1" applyAlignment="1">
      <alignment horizontal="left" vertical="top"/>
    </xf>
    <xf numFmtId="164" fontId="10" fillId="0" borderId="0" xfId="0" applyNumberFormat="1" applyFont="1" applyAlignment="1">
      <alignment horizontal="center" vertical="center"/>
    </xf>
    <xf numFmtId="0" fontId="0" fillId="0" borderId="0" xfId="0" applyAlignment="1">
      <alignment horizontal="center" vertical="center"/>
    </xf>
    <xf numFmtId="164" fontId="0" fillId="0" borderId="0" xfId="0" applyNumberFormat="1"/>
    <xf numFmtId="0" fontId="10" fillId="0" borderId="0" xfId="0" applyFont="1" applyAlignment="1">
      <alignment horizontal="left" vertical="center"/>
    </xf>
    <xf numFmtId="0" fontId="10" fillId="0" borderId="0" xfId="0" applyFont="1" applyAlignment="1">
      <alignment horizontal="center"/>
    </xf>
    <xf numFmtId="0" fontId="3" fillId="0" borderId="0" xfId="0" applyFont="1" applyAlignment="1">
      <alignment horizontal="center" vertical="center"/>
    </xf>
    <xf numFmtId="0" fontId="11" fillId="0" borderId="4" xfId="0" applyFont="1" applyBorder="1" applyAlignment="1">
      <alignment horizontal="center" vertical="center" wrapText="1"/>
    </xf>
    <xf numFmtId="1" fontId="3" fillId="0" borderId="4"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1"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1" fontId="3" fillId="0" borderId="0" xfId="0" applyNumberFormat="1" applyFont="1" applyAlignment="1">
      <alignment horizontal="center" vertical="center"/>
    </xf>
    <xf numFmtId="0" fontId="3" fillId="0" borderId="0" xfId="0" applyFont="1" applyAlignment="1">
      <alignment horizontal="center" vertical="center" wrapText="1"/>
    </xf>
    <xf numFmtId="1" fontId="3" fillId="0" borderId="0" xfId="0" applyNumberFormat="1" applyFont="1" applyAlignment="1">
      <alignment horizontal="center" vertical="center" wrapText="1"/>
    </xf>
    <xf numFmtId="2" fontId="3" fillId="0" borderId="0" xfId="0" applyNumberFormat="1" applyFont="1" applyAlignment="1">
      <alignment horizontal="center" vertical="center"/>
    </xf>
    <xf numFmtId="2" fontId="5" fillId="0" borderId="4" xfId="0" applyNumberFormat="1" applyFont="1" applyBorder="1" applyAlignment="1">
      <alignment horizontal="center" vertical="center" wrapText="1"/>
    </xf>
    <xf numFmtId="0" fontId="6" fillId="0" borderId="4" xfId="0" applyFont="1" applyBorder="1" applyAlignment="1">
      <alignment horizontal="justify" vertical="top"/>
    </xf>
    <xf numFmtId="2" fontId="6" fillId="0" borderId="4" xfId="0" applyNumberFormat="1" applyFont="1" applyBorder="1" applyAlignment="1">
      <alignment horizontal="justify" vertical="top"/>
    </xf>
    <xf numFmtId="0" fontId="5" fillId="0" borderId="0" xfId="0" applyFont="1"/>
    <xf numFmtId="0" fontId="6" fillId="0" borderId="0" xfId="0" applyFont="1" applyAlignment="1">
      <alignment horizontal="left" vertical="top"/>
    </xf>
    <xf numFmtId="164" fontId="5" fillId="0" borderId="0" xfId="0" applyNumberFormat="1" applyFont="1" applyAlignment="1">
      <alignment horizontal="center" vertical="center"/>
    </xf>
    <xf numFmtId="0" fontId="13" fillId="0" borderId="0" xfId="0" applyFont="1"/>
    <xf numFmtId="0" fontId="14" fillId="0" borderId="0" xfId="0" applyFont="1" applyAlignment="1">
      <alignment horizontal="left" vertical="top"/>
    </xf>
    <xf numFmtId="164" fontId="4"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xf numFmtId="0" fontId="4" fillId="0" borderId="0" xfId="0" applyFont="1" applyAlignment="1">
      <alignment horizontal="left" vertical="center"/>
    </xf>
    <xf numFmtId="0" fontId="4" fillId="0" borderId="0" xfId="0" applyFont="1" applyAlignment="1">
      <alignment horizontal="center"/>
    </xf>
    <xf numFmtId="0" fontId="4" fillId="0" borderId="0" xfId="0" applyFont="1" applyAlignment="1">
      <alignment horizontal="center" vertical="center"/>
    </xf>
    <xf numFmtId="0" fontId="17" fillId="0" borderId="4" xfId="0" applyFont="1" applyBorder="1" applyAlignment="1">
      <alignment horizontal="center" vertical="center" wrapText="1"/>
    </xf>
    <xf numFmtId="0" fontId="17" fillId="0" borderId="4" xfId="0" applyFont="1" applyBorder="1" applyAlignment="1">
      <alignment horizontal="center" vertical="center"/>
    </xf>
    <xf numFmtId="164" fontId="18" fillId="0" borderId="4" xfId="0" applyNumberFormat="1" applyFont="1" applyBorder="1" applyAlignment="1">
      <alignment horizontal="center" wrapText="1"/>
    </xf>
    <xf numFmtId="0" fontId="19" fillId="0" borderId="4" xfId="0" applyFont="1" applyBorder="1" applyAlignment="1">
      <alignment horizontal="justify" vertical="center" wrapText="1"/>
    </xf>
    <xf numFmtId="2" fontId="17" fillId="0" borderId="4" xfId="0" applyNumberFormat="1" applyFont="1" applyBorder="1" applyAlignment="1">
      <alignment horizontal="center" vertical="center"/>
    </xf>
    <xf numFmtId="2" fontId="19" fillId="0" borderId="4" xfId="0" applyNumberFormat="1" applyFont="1" applyBorder="1" applyAlignment="1">
      <alignment horizontal="center" vertical="center"/>
    </xf>
    <xf numFmtId="164" fontId="18" fillId="0" borderId="4" xfId="0" applyNumberFormat="1" applyFont="1" applyBorder="1" applyAlignment="1">
      <alignment horizontal="center" vertical="center" wrapText="1"/>
    </xf>
    <xf numFmtId="0" fontId="20" fillId="0" borderId="4" xfId="0" applyFont="1" applyBorder="1" applyAlignment="1" applyProtection="1">
      <alignment horizontal="justify" vertical="top"/>
      <protection locked="0"/>
    </xf>
    <xf numFmtId="164" fontId="18" fillId="0" borderId="4" xfId="0" applyNumberFormat="1" applyFont="1" applyBorder="1" applyAlignment="1">
      <alignment horizontal="center" vertical="center"/>
    </xf>
    <xf numFmtId="0" fontId="19" fillId="0" borderId="4" xfId="0" applyFont="1" applyBorder="1" applyAlignment="1">
      <alignment horizontal="justify" vertical="top" wrapText="1"/>
    </xf>
    <xf numFmtId="2" fontId="19"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164" fontId="18" fillId="0" borderId="4" xfId="0" applyNumberFormat="1" applyFont="1" applyBorder="1" applyAlignment="1" applyProtection="1">
      <alignment horizontal="center" vertical="center"/>
      <protection locked="0"/>
    </xf>
    <xf numFmtId="0" fontId="21" fillId="0" borderId="4" xfId="0" applyFont="1" applyBorder="1" applyAlignment="1">
      <alignment horizontal="justify" vertical="center" wrapText="1"/>
    </xf>
    <xf numFmtId="2" fontId="19" fillId="0" borderId="4" xfId="0" applyNumberFormat="1" applyFont="1" applyBorder="1" applyAlignment="1">
      <alignment horizontal="center"/>
    </xf>
    <xf numFmtId="164" fontId="18" fillId="0" borderId="4" xfId="0" applyNumberFormat="1" applyFont="1" applyBorder="1" applyAlignment="1">
      <alignment horizontal="center"/>
    </xf>
    <xf numFmtId="0" fontId="19" fillId="0" borderId="4" xfId="0" applyFont="1" applyBorder="1" applyAlignment="1">
      <alignment horizontal="justify" vertical="center"/>
    </xf>
    <xf numFmtId="2" fontId="19" fillId="0" borderId="4" xfId="0" applyNumberFormat="1" applyFont="1" applyBorder="1" applyAlignment="1">
      <alignment horizontal="justify" vertical="center"/>
    </xf>
    <xf numFmtId="0" fontId="17" fillId="0" borderId="4" xfId="0" applyFont="1" applyBorder="1"/>
    <xf numFmtId="0" fontId="17" fillId="0" borderId="4" xfId="0" applyFont="1" applyBorder="1" applyAlignment="1">
      <alignment horizontal="justify"/>
    </xf>
    <xf numFmtId="0" fontId="17" fillId="0" borderId="0" xfId="0" applyFont="1" applyAlignment="1">
      <alignment horizontal="center" vertical="center"/>
    </xf>
    <xf numFmtId="0" fontId="19" fillId="0" borderId="0" xfId="0" applyFont="1" applyAlignment="1">
      <alignment horizontal="justify"/>
    </xf>
    <xf numFmtId="0" fontId="19" fillId="0" borderId="0" xfId="0" applyFont="1"/>
    <xf numFmtId="164" fontId="18" fillId="0" borderId="0" xfId="0" applyNumberFormat="1" applyFont="1"/>
    <xf numFmtId="0" fontId="13" fillId="0" borderId="0" xfId="0" applyFont="1" applyAlignment="1">
      <alignment horizontal="center" vertical="center"/>
    </xf>
    <xf numFmtId="0" fontId="14" fillId="0" borderId="0" xfId="0" applyFont="1" applyAlignment="1">
      <alignment horizontal="justify"/>
    </xf>
    <xf numFmtId="0" fontId="14" fillId="0" borderId="0" xfId="0" applyFont="1"/>
    <xf numFmtId="164" fontId="22" fillId="0" borderId="0" xfId="0" applyNumberFormat="1" applyFont="1"/>
    <xf numFmtId="0" fontId="13" fillId="0" borderId="0" xfId="0" applyFont="1" applyAlignment="1">
      <alignment horizontal="justify" vertical="center"/>
    </xf>
    <xf numFmtId="0" fontId="6" fillId="0" borderId="4" xfId="0" applyFont="1" applyBorder="1" applyAlignment="1">
      <alignment horizontal="left" vertical="top" wrapText="1"/>
    </xf>
    <xf numFmtId="0" fontId="24" fillId="0" borderId="4" xfId="0" applyFont="1" applyBorder="1" applyAlignment="1">
      <alignment horizontal="justify" vertical="center" wrapText="1"/>
    </xf>
    <xf numFmtId="164" fontId="25" fillId="0" borderId="4" xfId="0" applyNumberFormat="1" applyFont="1" applyBorder="1" applyAlignment="1">
      <alignment horizontal="center" vertical="center" wrapText="1"/>
    </xf>
    <xf numFmtId="164" fontId="5" fillId="0" borderId="0" xfId="0" applyNumberFormat="1" applyFont="1"/>
    <xf numFmtId="0" fontId="3" fillId="0" borderId="0" xfId="0" applyFont="1"/>
    <xf numFmtId="0" fontId="27" fillId="0" borderId="0" xfId="0" applyFont="1" applyAlignment="1">
      <alignment vertical="top"/>
    </xf>
    <xf numFmtId="0" fontId="27" fillId="0" borderId="0" xfId="0" applyFont="1" applyAlignment="1">
      <alignment vertical="center"/>
    </xf>
    <xf numFmtId="0" fontId="20" fillId="0" borderId="4" xfId="0" applyFont="1" applyBorder="1" applyAlignment="1">
      <alignment horizontal="justify" vertical="top" wrapText="1"/>
    </xf>
    <xf numFmtId="2" fontId="18" fillId="0" borderId="4" xfId="0" applyNumberFormat="1" applyFont="1" applyBorder="1" applyAlignment="1">
      <alignment horizontal="center" vertical="center"/>
    </xf>
    <xf numFmtId="2" fontId="19" fillId="0" borderId="4" xfId="0" applyNumberFormat="1" applyFont="1" applyBorder="1" applyAlignment="1">
      <alignment horizontal="center" vertical="top"/>
    </xf>
    <xf numFmtId="0" fontId="19" fillId="0" borderId="4" xfId="0" applyFont="1" applyBorder="1" applyAlignment="1">
      <alignment horizontal="justify" wrapText="1"/>
    </xf>
    <xf numFmtId="0" fontId="2" fillId="0" borderId="0" xfId="0" applyFont="1"/>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164" fontId="8" fillId="0" borderId="4" xfId="0" applyNumberFormat="1" applyFont="1" applyBorder="1" applyAlignment="1">
      <alignment horizontal="center" vertical="center" wrapText="1"/>
    </xf>
    <xf numFmtId="0" fontId="9" fillId="0" borderId="4" xfId="0" applyFont="1" applyBorder="1" applyAlignment="1">
      <alignment horizontal="center" vertical="center"/>
    </xf>
    <xf numFmtId="2" fontId="8" fillId="0" borderId="4" xfId="0" applyNumberFormat="1" applyFont="1" applyBorder="1" applyAlignment="1">
      <alignment horizontal="center" vertical="center"/>
    </xf>
    <xf numFmtId="2" fontId="9" fillId="0" borderId="4" xfId="0" applyNumberFormat="1" applyFont="1" applyBorder="1" applyAlignment="1">
      <alignment horizontal="center" vertical="center"/>
    </xf>
    <xf numFmtId="164" fontId="8" fillId="0" borderId="4" xfId="0" applyNumberFormat="1" applyFont="1" applyBorder="1" applyAlignment="1">
      <alignment horizontal="center" vertical="center"/>
    </xf>
    <xf numFmtId="0" fontId="9" fillId="0" borderId="4" xfId="0" applyFont="1" applyBorder="1" applyAlignment="1">
      <alignment horizontal="justify" vertical="top" wrapText="1"/>
    </xf>
    <xf numFmtId="0" fontId="32" fillId="0" borderId="4" xfId="0" applyFont="1" applyBorder="1" applyAlignment="1" applyProtection="1">
      <alignment horizontal="justify" vertical="top"/>
      <protection locked="0"/>
    </xf>
    <xf numFmtId="0" fontId="9" fillId="0" borderId="4" xfId="0" applyFont="1" applyBorder="1" applyAlignment="1">
      <alignment horizontal="center" vertical="center" wrapText="1"/>
    </xf>
    <xf numFmtId="0" fontId="8" fillId="0" borderId="4" xfId="0" applyFont="1" applyBorder="1" applyAlignment="1">
      <alignment horizontal="justify" vertical="center" wrapText="1"/>
    </xf>
    <xf numFmtId="2" fontId="9" fillId="0" borderId="4" xfId="0" applyNumberFormat="1" applyFont="1" applyBorder="1" applyAlignment="1">
      <alignment horizontal="center"/>
    </xf>
    <xf numFmtId="2" fontId="9" fillId="0" borderId="4" xfId="0" applyNumberFormat="1" applyFont="1" applyBorder="1" applyAlignment="1">
      <alignment horizontal="right"/>
    </xf>
    <xf numFmtId="0" fontId="8" fillId="0" borderId="4" xfId="0" applyFont="1" applyBorder="1" applyAlignment="1">
      <alignment horizontal="center"/>
    </xf>
    <xf numFmtId="0" fontId="9" fillId="0" borderId="4" xfId="0" applyFont="1" applyBorder="1" applyAlignment="1">
      <alignment horizontal="justify" vertical="top"/>
    </xf>
    <xf numFmtId="2" fontId="9" fillId="0" borderId="4" xfId="0" applyNumberFormat="1" applyFont="1" applyBorder="1" applyAlignment="1">
      <alignment horizontal="justify" vertical="top"/>
    </xf>
    <xf numFmtId="0" fontId="8" fillId="0" borderId="4" xfId="0" applyFont="1" applyBorder="1"/>
    <xf numFmtId="164" fontId="10" fillId="0" borderId="4" xfId="0" applyNumberFormat="1" applyFont="1" applyBorder="1" applyAlignment="1">
      <alignment horizontal="center" vertical="center"/>
    </xf>
    <xf numFmtId="0" fontId="8" fillId="0" borderId="0" xfId="0" applyFont="1" applyBorder="1"/>
    <xf numFmtId="0" fontId="9" fillId="0" borderId="0" xfId="0" applyFont="1" applyBorder="1" applyAlignment="1">
      <alignment horizontal="left" vertical="top"/>
    </xf>
    <xf numFmtId="164" fontId="10" fillId="0" borderId="0" xfId="0" applyNumberFormat="1" applyFont="1" applyBorder="1" applyAlignment="1">
      <alignment horizontal="center" vertical="center"/>
    </xf>
    <xf numFmtId="0" fontId="13" fillId="0" borderId="4" xfId="0" applyFont="1" applyBorder="1" applyAlignment="1">
      <alignment horizontal="center" vertical="center" wrapText="1"/>
    </xf>
    <xf numFmtId="0" fontId="13" fillId="0" borderId="4" xfId="0" applyFont="1" applyBorder="1" applyAlignment="1">
      <alignment horizontal="center" vertical="center"/>
    </xf>
    <xf numFmtId="164" fontId="13" fillId="0" borderId="4" xfId="0" applyNumberFormat="1" applyFont="1" applyBorder="1" applyAlignment="1">
      <alignment horizontal="center" vertical="center" wrapText="1"/>
    </xf>
    <xf numFmtId="0" fontId="14" fillId="0" borderId="4" xfId="0" applyFont="1" applyBorder="1" applyAlignment="1">
      <alignment horizontal="left" vertical="top"/>
    </xf>
    <xf numFmtId="2" fontId="13" fillId="0" borderId="4" xfId="0" applyNumberFormat="1" applyFont="1" applyBorder="1" applyAlignment="1">
      <alignment horizontal="center" vertical="center"/>
    </xf>
    <xf numFmtId="2" fontId="14" fillId="0" borderId="4" xfId="0" applyNumberFormat="1" applyFont="1" applyBorder="1" applyAlignment="1">
      <alignment horizontal="center" vertical="center"/>
    </xf>
    <xf numFmtId="164" fontId="13" fillId="0" borderId="4" xfId="0" applyNumberFormat="1" applyFont="1" applyBorder="1" applyAlignment="1">
      <alignment horizontal="center" vertical="center"/>
    </xf>
    <xf numFmtId="0" fontId="14" fillId="0" borderId="4" xfId="0" applyFont="1" applyBorder="1" applyAlignment="1">
      <alignment horizontal="justify" vertical="top" wrapText="1"/>
    </xf>
    <xf numFmtId="0" fontId="34" fillId="0" borderId="4" xfId="0" applyFont="1" applyBorder="1" applyAlignment="1" applyProtection="1">
      <alignment horizontal="justify" vertical="top"/>
      <protection locked="0"/>
    </xf>
    <xf numFmtId="0" fontId="14" fillId="0" borderId="4" xfId="0" applyFont="1" applyBorder="1" applyAlignment="1">
      <alignment horizontal="center" vertical="center" wrapText="1"/>
    </xf>
    <xf numFmtId="0" fontId="13" fillId="0" borderId="4" xfId="0" applyFont="1" applyBorder="1" applyAlignment="1">
      <alignment horizontal="justify" vertical="center" wrapText="1"/>
    </xf>
    <xf numFmtId="2" fontId="14" fillId="0" borderId="4" xfId="0" applyNumberFormat="1" applyFont="1" applyBorder="1" applyAlignment="1">
      <alignment horizontal="center"/>
    </xf>
    <xf numFmtId="2" fontId="14" fillId="0" borderId="4" xfId="0" applyNumberFormat="1" applyFont="1" applyBorder="1" applyAlignment="1">
      <alignment horizontal="right"/>
    </xf>
    <xf numFmtId="0" fontId="13" fillId="0" borderId="4" xfId="0" applyFont="1" applyBorder="1" applyAlignment="1">
      <alignment horizontal="center"/>
    </xf>
    <xf numFmtId="0" fontId="14" fillId="0" borderId="4" xfId="0" applyFont="1" applyBorder="1" applyAlignment="1">
      <alignment horizontal="justify" vertical="top"/>
    </xf>
    <xf numFmtId="2" fontId="14" fillId="0" borderId="4" xfId="0" applyNumberFormat="1" applyFont="1" applyBorder="1" applyAlignment="1">
      <alignment horizontal="justify" vertical="top"/>
    </xf>
    <xf numFmtId="0" fontId="13" fillId="0" borderId="4" xfId="0" applyFont="1" applyBorder="1"/>
    <xf numFmtId="0" fontId="14" fillId="0" borderId="4" xfId="0" applyFont="1" applyBorder="1"/>
    <xf numFmtId="164" fontId="4" fillId="0" borderId="4" xfId="0" applyNumberFormat="1" applyFont="1" applyBorder="1" applyAlignment="1">
      <alignment horizontal="center" vertical="center"/>
    </xf>
    <xf numFmtId="164" fontId="3" fillId="0" borderId="0" xfId="0" applyNumberFormat="1" applyFont="1"/>
    <xf numFmtId="0" fontId="14" fillId="0" borderId="4" xfId="0" applyFont="1" applyBorder="1" applyAlignment="1">
      <alignment horizontal="center" vertical="center"/>
    </xf>
    <xf numFmtId="165" fontId="3" fillId="0" borderId="4"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2" borderId="4" xfId="0" applyFont="1" applyFill="1" applyBorder="1" applyAlignment="1">
      <alignment horizontal="center" vertical="center"/>
    </xf>
    <xf numFmtId="2" fontId="3" fillId="0" borderId="4" xfId="0" applyNumberFormat="1" applyFont="1" applyBorder="1" applyAlignment="1">
      <alignment horizontal="center" vertical="center"/>
    </xf>
    <xf numFmtId="1" fontId="3" fillId="0" borderId="7" xfId="0" applyNumberFormat="1" applyFont="1" applyBorder="1" applyAlignment="1">
      <alignment horizontal="center" vertical="center" wrapText="1"/>
    </xf>
    <xf numFmtId="0" fontId="35" fillId="0" borderId="4" xfId="0" applyFont="1" applyBorder="1" applyAlignment="1">
      <alignment horizontal="center" vertical="center"/>
    </xf>
    <xf numFmtId="2" fontId="3" fillId="0" borderId="7" xfId="0" applyNumberFormat="1" applyFont="1" applyBorder="1" applyAlignment="1">
      <alignment horizontal="center" vertical="center" wrapText="1"/>
    </xf>
    <xf numFmtId="0" fontId="3" fillId="0" borderId="4" xfId="0" applyFont="1" applyBorder="1" applyAlignment="1">
      <alignment vertical="top" wrapText="1"/>
    </xf>
    <xf numFmtId="0" fontId="3" fillId="0" borderId="4" xfId="0" applyFont="1" applyBorder="1" applyAlignment="1">
      <alignment horizontal="left" vertical="top" wrapText="1"/>
    </xf>
    <xf numFmtId="0" fontId="3" fillId="0" borderId="4" xfId="0" applyFont="1" applyBorder="1" applyAlignment="1">
      <alignment horizontal="left" wrapText="1"/>
    </xf>
    <xf numFmtId="0" fontId="3" fillId="0" borderId="4" xfId="0" applyFont="1" applyBorder="1"/>
    <xf numFmtId="0" fontId="36" fillId="0" borderId="4" xfId="0" applyFont="1" applyBorder="1" applyAlignment="1">
      <alignment horizontal="left" vertical="top" wrapText="1"/>
    </xf>
    <xf numFmtId="0" fontId="3" fillId="0" borderId="4" xfId="0" applyFont="1" applyBorder="1" applyAlignment="1">
      <alignment wrapText="1"/>
    </xf>
    <xf numFmtId="165" fontId="3" fillId="0" borderId="4" xfId="0" applyNumberFormat="1" applyFont="1" applyBorder="1" applyAlignment="1">
      <alignment horizontal="center" vertical="center"/>
    </xf>
    <xf numFmtId="0" fontId="37" fillId="0" borderId="4" xfId="0" applyFont="1" applyBorder="1" applyAlignment="1">
      <alignment horizontal="center" vertical="center" wrapText="1"/>
    </xf>
    <xf numFmtId="2" fontId="3" fillId="0" borderId="4" xfId="0" applyNumberFormat="1" applyFont="1" applyBorder="1" applyAlignment="1">
      <alignment horizontal="right"/>
    </xf>
    <xf numFmtId="2" fontId="3" fillId="0" borderId="4" xfId="0" applyNumberFormat="1" applyFont="1" applyBorder="1" applyAlignment="1">
      <alignment horizontal="center"/>
    </xf>
    <xf numFmtId="2" fontId="3" fillId="0" borderId="4" xfId="0" applyNumberFormat="1" applyFont="1" applyBorder="1" applyAlignment="1">
      <alignment horizontal="right" vertical="center"/>
    </xf>
    <xf numFmtId="2" fontId="3" fillId="0" borderId="4" xfId="0" applyNumberFormat="1" applyFont="1" applyBorder="1" applyAlignment="1">
      <alignment horizontal="center" vertical="top"/>
    </xf>
    <xf numFmtId="0" fontId="3" fillId="0" borderId="4" xfId="0" applyFont="1" applyBorder="1" applyAlignment="1">
      <alignment horizontal="center" wrapText="1"/>
    </xf>
    <xf numFmtId="0" fontId="3" fillId="0" borderId="2" xfId="0" applyFont="1" applyBorder="1" applyAlignment="1">
      <alignment horizontal="right"/>
    </xf>
    <xf numFmtId="0" fontId="3" fillId="0" borderId="3" xfId="0" applyFont="1" applyBorder="1" applyAlignment="1">
      <alignment horizontal="right"/>
    </xf>
    <xf numFmtId="0" fontId="38" fillId="3" borderId="4" xfId="0" applyFont="1" applyFill="1" applyBorder="1" applyAlignment="1">
      <alignment horizontal="center" vertical="center" wrapText="1"/>
    </xf>
    <xf numFmtId="0" fontId="0" fillId="0" borderId="4" xfId="0" applyBorder="1" applyAlignment="1">
      <alignment horizontal="center" vertical="center"/>
    </xf>
    <xf numFmtId="0" fontId="10" fillId="0" borderId="4" xfId="0" applyFont="1" applyBorder="1" applyAlignment="1">
      <alignment horizontal="center" vertical="center" wrapText="1"/>
    </xf>
    <xf numFmtId="0" fontId="27" fillId="0" borderId="4" xfId="0" applyFont="1" applyBorder="1" applyAlignment="1">
      <alignment horizontal="center" vertical="center" wrapText="1"/>
    </xf>
    <xf numFmtId="0" fontId="3" fillId="0" borderId="2" xfId="0" applyFont="1" applyBorder="1" applyAlignment="1">
      <alignment horizontal="right"/>
    </xf>
    <xf numFmtId="0" fontId="3" fillId="0" borderId="3" xfId="0" applyFont="1" applyBorder="1" applyAlignment="1">
      <alignment horizontal="right"/>
    </xf>
    <xf numFmtId="0" fontId="40" fillId="0" borderId="0" xfId="0" applyFont="1"/>
    <xf numFmtId="0" fontId="42" fillId="0" borderId="4" xfId="0" applyFont="1" applyBorder="1" applyAlignment="1">
      <alignment horizontal="center" vertical="top" wrapText="1"/>
    </xf>
    <xf numFmtId="2" fontId="42" fillId="0" borderId="4" xfId="0" applyNumberFormat="1" applyFont="1" applyBorder="1" applyAlignment="1">
      <alignment horizontal="center" vertical="top" wrapText="1"/>
    </xf>
    <xf numFmtId="0" fontId="42" fillId="0" borderId="4" xfId="0" applyFont="1" applyBorder="1" applyAlignment="1">
      <alignment horizontal="center" vertical="center" wrapText="1"/>
    </xf>
    <xf numFmtId="0" fontId="43" fillId="0" borderId="4" xfId="0" applyFont="1" applyBorder="1" applyAlignment="1">
      <alignment horizontal="center" vertical="center"/>
    </xf>
    <xf numFmtId="0" fontId="43" fillId="0" borderId="4" xfId="0" applyFont="1" applyBorder="1" applyAlignment="1">
      <alignment vertical="top" wrapText="1"/>
    </xf>
    <xf numFmtId="2" fontId="43" fillId="0" borderId="4" xfId="0" applyNumberFormat="1" applyFont="1" applyBorder="1" applyAlignment="1">
      <alignment horizontal="center" vertical="center"/>
    </xf>
    <xf numFmtId="2" fontId="42" fillId="0" borderId="4" xfId="0" applyNumberFormat="1" applyFont="1" applyBorder="1" applyAlignment="1">
      <alignment horizontal="center" vertical="center"/>
    </xf>
    <xf numFmtId="0" fontId="43" fillId="0" borderId="8" xfId="0" applyFont="1" applyBorder="1" applyAlignment="1">
      <alignment horizontal="center" vertical="center" wrapText="1"/>
    </xf>
    <xf numFmtId="0" fontId="31" fillId="0" borderId="4" xfId="0" applyFont="1" applyBorder="1" applyAlignment="1">
      <alignment vertical="top" wrapText="1"/>
    </xf>
    <xf numFmtId="0" fontId="0" fillId="0" borderId="0" xfId="0" applyAlignment="1">
      <alignment horizontal="center"/>
    </xf>
    <xf numFmtId="2" fontId="43" fillId="0" borderId="4" xfId="0" applyNumberFormat="1" applyFont="1" applyBorder="1" applyAlignment="1">
      <alignment vertical="center"/>
    </xf>
    <xf numFmtId="0" fontId="43" fillId="0" borderId="4" xfId="0" applyFont="1" applyBorder="1" applyAlignment="1">
      <alignment vertical="center"/>
    </xf>
    <xf numFmtId="0" fontId="31" fillId="0" borderId="4" xfId="0" applyFont="1" applyBorder="1"/>
    <xf numFmtId="0" fontId="43" fillId="0" borderId="4" xfId="0" applyFont="1" applyBorder="1"/>
    <xf numFmtId="2" fontId="43" fillId="0" borderId="4" xfId="0" applyNumberFormat="1" applyFont="1" applyBorder="1"/>
    <xf numFmtId="0" fontId="31" fillId="0" borderId="4" xfId="0" applyFont="1" applyBorder="1" applyAlignment="1">
      <alignment horizontal="left" vertical="top" wrapText="1"/>
    </xf>
    <xf numFmtId="2" fontId="43" fillId="0" borderId="4" xfId="0" applyNumberFormat="1" applyFont="1" applyBorder="1" applyAlignment="1">
      <alignment horizontal="center"/>
    </xf>
    <xf numFmtId="2" fontId="31" fillId="0" borderId="4" xfId="0" applyNumberFormat="1" applyFont="1" applyBorder="1" applyAlignment="1">
      <alignment horizontal="left" vertical="top" wrapText="1"/>
    </xf>
    <xf numFmtId="1" fontId="0" fillId="0" borderId="4" xfId="0" applyNumberFormat="1" applyBorder="1" applyAlignment="1">
      <alignment horizontal="center" vertical="center"/>
    </xf>
    <xf numFmtId="0" fontId="43" fillId="0" borderId="0" xfId="0" applyFont="1" applyAlignment="1">
      <alignment horizontal="center"/>
    </xf>
    <xf numFmtId="0" fontId="43" fillId="0" borderId="0" xfId="0" applyFont="1"/>
    <xf numFmtId="0" fontId="44" fillId="0" borderId="0" xfId="0" applyFont="1" applyAlignment="1">
      <alignment horizontal="center"/>
    </xf>
    <xf numFmtId="2" fontId="44" fillId="0" borderId="0" xfId="0" applyNumberFormat="1" applyFont="1" applyAlignment="1">
      <alignment horizontal="center"/>
    </xf>
    <xf numFmtId="2" fontId="40" fillId="0" borderId="0" xfId="0" applyNumberFormat="1" applyFont="1"/>
    <xf numFmtId="0" fontId="40"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wrapText="1"/>
    </xf>
    <xf numFmtId="0" fontId="3" fillId="0" borderId="4" xfId="0" applyFont="1" applyBorder="1" applyAlignment="1">
      <alignment vertical="center"/>
    </xf>
    <xf numFmtId="0" fontId="3" fillId="0" borderId="4" xfId="0" applyFont="1" applyBorder="1" applyAlignment="1">
      <alignment horizontal="right" wrapText="1"/>
    </xf>
    <xf numFmtId="0" fontId="9" fillId="0" borderId="4" xfId="0" applyFont="1" applyBorder="1" applyAlignment="1">
      <alignment vertical="top" wrapText="1"/>
    </xf>
    <xf numFmtId="2" fontId="0" fillId="0" borderId="4" xfId="0" applyNumberFormat="1" applyBorder="1" applyAlignment="1">
      <alignment horizontal="right" vertical="center"/>
    </xf>
    <xf numFmtId="2" fontId="0" fillId="0" borderId="4" xfId="0" applyNumberFormat="1" applyBorder="1" applyAlignment="1">
      <alignment horizontal="right" vertical="center" wrapText="1"/>
    </xf>
    <xf numFmtId="0" fontId="0" fillId="0" borderId="4" xfId="0"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right" vertical="center" wrapText="1"/>
    </xf>
    <xf numFmtId="2" fontId="0" fillId="0" borderId="4" xfId="0" applyNumberFormat="1" applyBorder="1" applyAlignment="1">
      <alignment horizontal="center" wrapText="1"/>
    </xf>
    <xf numFmtId="2" fontId="0" fillId="0" borderId="4" xfId="0" applyNumberFormat="1" applyBorder="1" applyAlignment="1">
      <alignment horizontal="center" vertical="center"/>
    </xf>
    <xf numFmtId="2" fontId="3" fillId="0" borderId="4" xfId="0" applyNumberFormat="1" applyFont="1" applyBorder="1" applyAlignment="1">
      <alignment horizontal="right" wrapText="1"/>
    </xf>
    <xf numFmtId="0" fontId="0" fillId="0" borderId="0" xfId="0" applyAlignment="1">
      <alignment horizontal="center"/>
    </xf>
    <xf numFmtId="2" fontId="0" fillId="0" borderId="0" xfId="0" applyNumberFormat="1"/>
    <xf numFmtId="0" fontId="35" fillId="0" borderId="0" xfId="0" applyFont="1" applyAlignment="1">
      <alignment horizontal="right" vertical="center"/>
    </xf>
    <xf numFmtId="2" fontId="10" fillId="0" borderId="0" xfId="0" applyNumberFormat="1" applyFont="1" applyAlignment="1">
      <alignment horizontal="center" vertical="center"/>
    </xf>
    <xf numFmtId="0" fontId="9" fillId="0" borderId="0" xfId="0" applyFont="1" applyAlignment="1">
      <alignment horizontal="center" vertical="center"/>
    </xf>
    <xf numFmtId="0" fontId="9" fillId="0" borderId="0" xfId="0" applyFont="1"/>
    <xf numFmtId="0" fontId="27" fillId="0" borderId="4" xfId="0" applyFont="1" applyBorder="1" applyAlignment="1">
      <alignment horizontal="center" vertical="center"/>
    </xf>
    <xf numFmtId="0" fontId="8" fillId="0" borderId="4" xfId="0" applyFont="1" applyBorder="1" applyAlignment="1">
      <alignment vertical="center"/>
    </xf>
    <xf numFmtId="0" fontId="8" fillId="0" borderId="4" xfId="0" applyFont="1" applyBorder="1" applyAlignment="1">
      <alignment wrapText="1"/>
    </xf>
    <xf numFmtId="0" fontId="8" fillId="0" borderId="4" xfId="0" applyFont="1" applyBorder="1" applyAlignment="1">
      <alignment horizontal="center" wrapText="1"/>
    </xf>
    <xf numFmtId="0" fontId="8" fillId="0" borderId="4" xfId="0" applyFont="1" applyBorder="1" applyAlignment="1">
      <alignment vertical="top" wrapText="1"/>
    </xf>
    <xf numFmtId="0" fontId="8" fillId="0" borderId="4" xfId="0" applyFont="1" applyBorder="1" applyAlignment="1">
      <alignment horizontal="right"/>
    </xf>
    <xf numFmtId="2" fontId="8" fillId="0" borderId="4" xfId="0" applyNumberFormat="1" applyFont="1" applyBorder="1" applyAlignment="1">
      <alignment horizontal="right"/>
    </xf>
    <xf numFmtId="0" fontId="8" fillId="0" borderId="4" xfId="0" applyFont="1" applyBorder="1" applyAlignment="1">
      <alignment horizontal="left" vertical="top" wrapText="1"/>
    </xf>
    <xf numFmtId="0" fontId="8" fillId="0" borderId="4" xfId="0" applyFont="1" applyBorder="1" applyAlignment="1">
      <alignment horizontal="left" wrapText="1"/>
    </xf>
    <xf numFmtId="2" fontId="8" fillId="0" borderId="4" xfId="0" applyNumberFormat="1" applyFont="1" applyBorder="1" applyAlignment="1">
      <alignment horizontal="center"/>
    </xf>
    <xf numFmtId="0" fontId="47" fillId="0" borderId="4" xfId="0" applyFont="1" applyBorder="1" applyAlignment="1">
      <alignment horizontal="center" vertical="center" wrapText="1"/>
    </xf>
    <xf numFmtId="2" fontId="8" fillId="0" borderId="4" xfId="0" applyNumberFormat="1" applyFont="1" applyBorder="1" applyAlignment="1">
      <alignment horizontal="right" vertical="center"/>
    </xf>
    <xf numFmtId="2" fontId="8" fillId="0" borderId="4" xfId="0" applyNumberFormat="1" applyFont="1" applyBorder="1" applyAlignment="1">
      <alignment horizontal="right" vertical="top"/>
    </xf>
    <xf numFmtId="0" fontId="8" fillId="0" borderId="4" xfId="0" applyFont="1" applyBorder="1" applyAlignment="1">
      <alignment horizontal="right" wrapText="1"/>
    </xf>
    <xf numFmtId="2" fontId="8" fillId="0" borderId="4" xfId="0" applyNumberFormat="1" applyFont="1" applyBorder="1"/>
    <xf numFmtId="0" fontId="8" fillId="0" borderId="2" xfId="0" applyFont="1" applyBorder="1" applyAlignment="1">
      <alignment horizontal="right"/>
    </xf>
    <xf numFmtId="0" fontId="8" fillId="0" borderId="3" xfId="0" applyFont="1" applyBorder="1" applyAlignment="1">
      <alignment horizontal="right"/>
    </xf>
    <xf numFmtId="166" fontId="52" fillId="0" borderId="4" xfId="0" applyNumberFormat="1" applyFont="1" applyBorder="1"/>
    <xf numFmtId="0" fontId="8" fillId="0" borderId="0" xfId="0" applyFont="1" applyAlignment="1">
      <alignment horizontal="center" vertical="center"/>
    </xf>
    <xf numFmtId="0" fontId="27" fillId="0" borderId="0" xfId="0" applyFont="1" applyAlignment="1">
      <alignment horizontal="center" vertical="center"/>
    </xf>
    <xf numFmtId="0" fontId="27" fillId="0" borderId="0" xfId="0" applyFont="1"/>
    <xf numFmtId="0" fontId="13" fillId="0" borderId="4" xfId="0" applyNumberFormat="1" applyFont="1" applyBorder="1" applyAlignment="1">
      <alignment horizontal="center" vertical="center"/>
    </xf>
    <xf numFmtId="0" fontId="13" fillId="0" borderId="4" xfId="0" applyNumberFormat="1" applyFont="1" applyBorder="1" applyAlignment="1">
      <alignment horizontal="center" vertical="center" wrapText="1"/>
    </xf>
    <xf numFmtId="2" fontId="4" fillId="0" borderId="4" xfId="0" applyNumberFormat="1" applyFont="1" applyBorder="1" applyAlignment="1">
      <alignment horizontal="center" vertical="center"/>
    </xf>
    <xf numFmtId="0" fontId="9" fillId="0" borderId="4" xfId="0" applyFont="1" applyBorder="1" applyAlignment="1">
      <alignment horizontal="justify" vertical="center" wrapText="1"/>
    </xf>
    <xf numFmtId="2" fontId="8" fillId="0" borderId="4" xfId="0" applyNumberFormat="1" applyFont="1" applyBorder="1" applyAlignment="1">
      <alignment horizontal="center" vertical="center" wrapText="1"/>
    </xf>
    <xf numFmtId="2" fontId="9" fillId="0" borderId="4" xfId="0" applyNumberFormat="1" applyFont="1" applyBorder="1" applyAlignment="1">
      <alignment horizontal="center" vertical="top" wrapText="1"/>
    </xf>
    <xf numFmtId="0" fontId="9" fillId="0" borderId="4" xfId="0" applyFont="1" applyBorder="1" applyAlignment="1">
      <alignment horizontal="center" vertical="top" wrapText="1"/>
    </xf>
    <xf numFmtId="2" fontId="8" fillId="0" borderId="4" xfId="0" applyNumberFormat="1" applyFont="1" applyBorder="1" applyAlignment="1">
      <alignment horizontal="center" vertical="top" wrapText="1"/>
    </xf>
    <xf numFmtId="0" fontId="55" fillId="0" borderId="4" xfId="0" applyFont="1" applyBorder="1" applyAlignment="1">
      <alignment horizontal="center" vertical="center" wrapText="1"/>
    </xf>
    <xf numFmtId="0" fontId="32" fillId="0" borderId="0" xfId="0" applyFont="1" applyAlignment="1">
      <alignment horizontal="justify" vertical="top" wrapText="1"/>
    </xf>
    <xf numFmtId="2" fontId="56" fillId="0" borderId="4" xfId="0" applyNumberFormat="1" applyFont="1" applyBorder="1" applyAlignment="1">
      <alignment horizontal="center" vertical="top" wrapText="1"/>
    </xf>
    <xf numFmtId="2" fontId="57" fillId="0" borderId="4" xfId="0" applyNumberFormat="1" applyFont="1" applyBorder="1" applyAlignment="1">
      <alignment horizontal="center" vertical="top"/>
    </xf>
    <xf numFmtId="0" fontId="56" fillId="0" borderId="4" xfId="0" applyFont="1" applyBorder="1" applyAlignment="1">
      <alignment horizontal="right" vertical="top" wrapText="1"/>
    </xf>
    <xf numFmtId="0" fontId="0" fillId="0" borderId="4" xfId="0" applyBorder="1" applyAlignment="1">
      <alignment horizontal="justify" vertical="top" wrapText="1"/>
    </xf>
    <xf numFmtId="2" fontId="57" fillId="0" borderId="4" xfId="0" applyNumberFormat="1" applyFont="1" applyBorder="1" applyAlignment="1">
      <alignment horizontal="center" vertical="top" wrapText="1"/>
    </xf>
    <xf numFmtId="0" fontId="57" fillId="0" borderId="4" xfId="0" applyFont="1" applyBorder="1" applyAlignment="1">
      <alignment horizontal="center" vertical="top" wrapText="1"/>
    </xf>
    <xf numFmtId="0" fontId="56" fillId="0" borderId="4" xfId="0" applyFont="1" applyBorder="1" applyAlignment="1">
      <alignment horizontal="center" vertical="top" wrapText="1"/>
    </xf>
    <xf numFmtId="0" fontId="9" fillId="0" borderId="4" xfId="0" applyFont="1" applyBorder="1" applyAlignment="1">
      <alignment horizontal="justify" wrapText="1"/>
    </xf>
    <xf numFmtId="165" fontId="56" fillId="0" borderId="4" xfId="0" applyNumberFormat="1" applyFont="1" applyBorder="1" applyAlignment="1">
      <alignment horizontal="center" vertical="top" wrapText="1"/>
    </xf>
    <xf numFmtId="2" fontId="56" fillId="0" borderId="4" xfId="0" applyNumberFormat="1" applyFont="1" applyBorder="1" applyAlignment="1">
      <alignment horizontal="right" vertical="top" wrapText="1"/>
    </xf>
    <xf numFmtId="0" fontId="58" fillId="0" borderId="4" xfId="0" applyFont="1" applyBorder="1" applyAlignment="1">
      <alignment horizontal="justify" vertical="top" wrapText="1"/>
    </xf>
    <xf numFmtId="2" fontId="57" fillId="0" borderId="4" xfId="0" applyNumberFormat="1" applyFont="1" applyBorder="1" applyAlignment="1">
      <alignment horizontal="center" wrapText="1"/>
    </xf>
    <xf numFmtId="0" fontId="57" fillId="0" borderId="4" xfId="0" applyFont="1" applyBorder="1" applyAlignment="1">
      <alignment horizontal="center" wrapText="1"/>
    </xf>
    <xf numFmtId="2" fontId="56" fillId="0" borderId="4" xfId="0" applyNumberFormat="1" applyFont="1" applyBorder="1" applyAlignment="1">
      <alignment horizontal="center" wrapText="1"/>
    </xf>
    <xf numFmtId="0" fontId="9" fillId="0" borderId="4" xfId="0" applyFont="1" applyBorder="1" applyAlignment="1">
      <alignment horizontal="justify"/>
    </xf>
    <xf numFmtId="0" fontId="8" fillId="0" borderId="0" xfId="0" applyFont="1" applyAlignment="1">
      <alignment wrapText="1"/>
    </xf>
    <xf numFmtId="0" fontId="56" fillId="0" borderId="4" xfId="0" applyFont="1" applyBorder="1" applyAlignment="1">
      <alignment horizontal="right" wrapText="1"/>
    </xf>
    <xf numFmtId="0" fontId="59" fillId="0" borderId="4" xfId="0" applyFont="1" applyBorder="1"/>
    <xf numFmtId="2" fontId="56" fillId="0" borderId="4" xfId="0" applyNumberFormat="1" applyFont="1" applyBorder="1" applyAlignment="1">
      <alignment horizontal="center"/>
    </xf>
    <xf numFmtId="2" fontId="56" fillId="0" borderId="4" xfId="1" applyNumberFormat="1" applyFont="1" applyBorder="1" applyAlignment="1">
      <alignment horizontal="center" vertical="center"/>
    </xf>
    <xf numFmtId="0" fontId="59" fillId="0" borderId="0" xfId="0" applyFont="1"/>
    <xf numFmtId="0" fontId="56" fillId="0" borderId="4" xfId="0" applyFont="1" applyBorder="1" applyAlignment="1">
      <alignment horizontal="center" vertical="center"/>
    </xf>
    <xf numFmtId="0" fontId="60" fillId="0" borderId="4" xfId="0" applyFont="1" applyBorder="1" applyAlignment="1">
      <alignment horizontal="center"/>
    </xf>
    <xf numFmtId="0" fontId="9" fillId="0" borderId="4" xfId="0" applyFont="1" applyBorder="1" applyAlignment="1">
      <alignment horizontal="left" vertical="top" wrapText="1"/>
    </xf>
    <xf numFmtId="0" fontId="62" fillId="0" borderId="4" xfId="0" applyFont="1" applyBorder="1" applyAlignment="1">
      <alignment horizontal="center"/>
    </xf>
    <xf numFmtId="0" fontId="35" fillId="0" borderId="4" xfId="0" applyFont="1" applyBorder="1" applyAlignment="1">
      <alignment horizontal="center"/>
    </xf>
    <xf numFmtId="164" fontId="62" fillId="0" borderId="4" xfId="0" applyNumberFormat="1" applyFont="1" applyBorder="1" applyAlignment="1">
      <alignment horizontal="center"/>
    </xf>
    <xf numFmtId="2" fontId="43" fillId="0" borderId="4" xfId="0" applyNumberFormat="1" applyFont="1" applyBorder="1" applyAlignment="1">
      <alignment horizontal="center" wrapText="1"/>
    </xf>
    <xf numFmtId="0" fontId="43" fillId="0" borderId="4" xfId="0" applyFont="1" applyBorder="1" applyAlignment="1">
      <alignment horizontal="center" wrapText="1"/>
    </xf>
    <xf numFmtId="0" fontId="42" fillId="0" borderId="4" xfId="0" applyFont="1" applyBorder="1" applyAlignment="1">
      <alignment horizontal="center" wrapText="1"/>
    </xf>
    <xf numFmtId="164" fontId="43" fillId="0" borderId="4" xfId="0" applyNumberFormat="1" applyFont="1" applyBorder="1" applyAlignment="1">
      <alignment horizontal="center" wrapText="1"/>
    </xf>
    <xf numFmtId="2" fontId="42" fillId="0" borderId="4" xfId="0" applyNumberFormat="1" applyFont="1" applyBorder="1" applyAlignment="1">
      <alignment horizontal="center" wrapText="1"/>
    </xf>
    <xf numFmtId="164" fontId="42" fillId="0" borderId="4" xfId="0" applyNumberFormat="1" applyFont="1" applyBorder="1" applyAlignment="1">
      <alignment horizontal="center" wrapText="1"/>
    </xf>
    <xf numFmtId="0" fontId="63" fillId="0" borderId="4" xfId="0" applyFont="1" applyBorder="1" applyAlignment="1">
      <alignment horizontal="center" vertical="center" wrapText="1"/>
    </xf>
    <xf numFmtId="0" fontId="31" fillId="0" borderId="4" xfId="0" applyFont="1" applyBorder="1" applyAlignment="1">
      <alignment horizontal="center" vertical="top" wrapText="1"/>
    </xf>
    <xf numFmtId="165" fontId="31" fillId="0" borderId="4" xfId="0" applyNumberFormat="1" applyFont="1" applyBorder="1" applyAlignment="1">
      <alignment horizontal="center"/>
    </xf>
    <xf numFmtId="0" fontId="31" fillId="0" borderId="4" xfId="0" applyFont="1" applyBorder="1" applyAlignment="1">
      <alignment horizontal="center"/>
    </xf>
    <xf numFmtId="2" fontId="11" fillId="0" borderId="4" xfId="0" applyNumberFormat="1" applyFont="1" applyBorder="1" applyAlignment="1">
      <alignment horizontal="center"/>
    </xf>
    <xf numFmtId="164" fontId="11" fillId="0" borderId="4" xfId="0" applyNumberFormat="1" applyFont="1" applyBorder="1" applyAlignment="1">
      <alignment horizontal="center"/>
    </xf>
    <xf numFmtId="0" fontId="31" fillId="0" borderId="4" xfId="0" applyFont="1" applyBorder="1" applyAlignment="1">
      <alignment horizontal="center" vertical="center" wrapText="1"/>
    </xf>
    <xf numFmtId="0" fontId="62" fillId="0" borderId="4" xfId="0" applyFont="1" applyBorder="1" applyAlignment="1">
      <alignment horizontal="center" vertical="center" wrapText="1"/>
    </xf>
    <xf numFmtId="0" fontId="62" fillId="0" borderId="4" xfId="0" applyFont="1" applyBorder="1" applyAlignment="1">
      <alignment horizontal="center" vertical="top" wrapText="1"/>
    </xf>
    <xf numFmtId="2" fontId="31" fillId="0" borderId="4" xfId="0" applyNumberFormat="1" applyFont="1" applyBorder="1" applyAlignment="1">
      <alignment horizontal="center"/>
    </xf>
    <xf numFmtId="0" fontId="11" fillId="0" borderId="4" xfId="0" applyFont="1" applyBorder="1" applyAlignment="1">
      <alignment horizontal="center"/>
    </xf>
    <xf numFmtId="0" fontId="43" fillId="0" borderId="4" xfId="0" applyFont="1" applyBorder="1" applyAlignment="1">
      <alignment horizontal="center" vertical="top" wrapText="1"/>
    </xf>
    <xf numFmtId="0" fontId="11" fillId="0" borderId="4" xfId="0" applyFont="1" applyBorder="1" applyAlignment="1">
      <alignment horizontal="center" vertical="top" wrapText="1"/>
    </xf>
    <xf numFmtId="2" fontId="31" fillId="0" borderId="4" xfId="0" applyNumberFormat="1" applyFont="1" applyBorder="1" applyAlignment="1">
      <alignment horizontal="center" vertical="top" wrapText="1"/>
    </xf>
    <xf numFmtId="164" fontId="3" fillId="0" borderId="4" xfId="0" applyNumberFormat="1" applyFont="1" applyBorder="1" applyAlignment="1">
      <alignment horizontal="center"/>
    </xf>
    <xf numFmtId="0" fontId="43" fillId="0" borderId="4" xfId="0" applyFont="1" applyBorder="1" applyAlignment="1">
      <alignment horizontal="left" vertical="top" wrapText="1"/>
    </xf>
    <xf numFmtId="2" fontId="11" fillId="0" borderId="4" xfId="0" applyNumberFormat="1" applyFont="1" applyBorder="1" applyAlignment="1">
      <alignment horizontal="center" vertical="top" wrapText="1"/>
    </xf>
    <xf numFmtId="0" fontId="64" fillId="0" borderId="4" xfId="0" applyFont="1" applyBorder="1" applyAlignment="1">
      <alignment horizontal="center"/>
    </xf>
    <xf numFmtId="164" fontId="11" fillId="0" borderId="4" xfId="0" applyNumberFormat="1" applyFont="1" applyBorder="1" applyAlignment="1">
      <alignment horizontal="center" vertical="center"/>
    </xf>
    <xf numFmtId="164" fontId="55" fillId="0" borderId="4" xfId="0" applyNumberFormat="1" applyFont="1" applyBorder="1" applyAlignment="1">
      <alignment horizontal="center" vertical="center"/>
    </xf>
    <xf numFmtId="164" fontId="55" fillId="0" borderId="4" xfId="0" applyNumberFormat="1" applyFont="1" applyBorder="1" applyAlignment="1">
      <alignment horizontal="center" vertical="center" wrapText="1"/>
    </xf>
    <xf numFmtId="164" fontId="33" fillId="0" borderId="4" xfId="0" applyNumberFormat="1" applyFont="1" applyBorder="1" applyAlignment="1">
      <alignment horizontal="center" vertical="center" wrapText="1"/>
    </xf>
    <xf numFmtId="0" fontId="40" fillId="0" borderId="0" xfId="0" applyFont="1" applyAlignment="1">
      <alignment horizontal="center"/>
    </xf>
    <xf numFmtId="0" fontId="0" fillId="0" borderId="0" xfId="0"/>
    <xf numFmtId="164" fontId="11" fillId="0" borderId="4" xfId="0" applyNumberFormat="1" applyFont="1" applyBorder="1" applyAlignment="1">
      <alignment horizontal="center" vertical="center" wrapText="1"/>
    </xf>
    <xf numFmtId="164" fontId="3" fillId="0" borderId="4" xfId="0" applyNumberFormat="1" applyFont="1" applyBorder="1" applyAlignment="1">
      <alignment horizontal="center" vertical="center"/>
    </xf>
    <xf numFmtId="0" fontId="42" fillId="0" borderId="4" xfId="0" applyFont="1" applyBorder="1" applyAlignment="1">
      <alignment horizontal="left" vertical="top" wrapText="1"/>
    </xf>
    <xf numFmtId="164" fontId="3" fillId="0" borderId="0" xfId="0" applyNumberFormat="1" applyFont="1" applyAlignment="1">
      <alignment horizontal="center" vertical="center"/>
    </xf>
    <xf numFmtId="0" fontId="17" fillId="0" borderId="4" xfId="2" applyFont="1" applyBorder="1" applyAlignment="1">
      <alignment horizontal="center" vertical="center" wrapText="1"/>
    </xf>
    <xf numFmtId="0" fontId="19" fillId="0" borderId="4" xfId="2" applyFont="1" applyBorder="1" applyAlignment="1">
      <alignment horizontal="justify" vertical="top" wrapText="1"/>
    </xf>
    <xf numFmtId="2" fontId="17" fillId="0" borderId="4" xfId="2" applyNumberFormat="1" applyFont="1" applyBorder="1" applyAlignment="1">
      <alignment horizontal="center" vertical="center" wrapText="1"/>
    </xf>
    <xf numFmtId="2" fontId="19" fillId="0" borderId="4" xfId="2" applyNumberFormat="1" applyFont="1" applyBorder="1" applyAlignment="1">
      <alignment horizontal="center" vertical="center"/>
    </xf>
    <xf numFmtId="2" fontId="17" fillId="0" borderId="4" xfId="2" applyNumberFormat="1" applyFont="1" applyBorder="1" applyAlignment="1">
      <alignment horizontal="center" vertical="center"/>
    </xf>
    <xf numFmtId="164" fontId="17" fillId="0" borderId="4" xfId="2" applyNumberFormat="1" applyFont="1" applyBorder="1" applyAlignment="1">
      <alignment horizontal="center" vertical="center"/>
    </xf>
    <xf numFmtId="0" fontId="48" fillId="0" borderId="0" xfId="0" applyFont="1"/>
    <xf numFmtId="0" fontId="66" fillId="0" borderId="4" xfId="0" applyFont="1" applyBorder="1" applyAlignment="1">
      <alignment horizontal="center" vertical="center" wrapText="1"/>
    </xf>
    <xf numFmtId="0" fontId="48" fillId="0" borderId="4" xfId="0" applyFont="1" applyBorder="1" applyAlignment="1">
      <alignment horizontal="justify" vertical="top" wrapText="1"/>
    </xf>
    <xf numFmtId="2" fontId="48" fillId="0" borderId="4" xfId="0" applyNumberFormat="1" applyFont="1" applyBorder="1" applyAlignment="1">
      <alignment horizontal="center" vertical="center"/>
    </xf>
    <xf numFmtId="0" fontId="1" fillId="0" borderId="0" xfId="0" applyFont="1"/>
    <xf numFmtId="0" fontId="67" fillId="2" borderId="4" xfId="0" applyFont="1" applyFill="1" applyBorder="1" applyAlignment="1">
      <alignment horizontal="justify" vertical="top" wrapText="1"/>
    </xf>
    <xf numFmtId="0" fontId="20" fillId="0" borderId="4" xfId="2" applyFont="1" applyBorder="1" applyAlignment="1" applyProtection="1">
      <alignment horizontal="center" vertical="center"/>
      <protection locked="0"/>
    </xf>
    <xf numFmtId="0" fontId="20" fillId="0" borderId="4" xfId="2" applyFont="1" applyBorder="1" applyAlignment="1" applyProtection="1">
      <alignment horizontal="justify" vertical="top"/>
      <protection locked="0"/>
    </xf>
    <xf numFmtId="165" fontId="48" fillId="0" borderId="4" xfId="0" applyNumberFormat="1" applyFont="1" applyBorder="1" applyAlignment="1">
      <alignment horizontal="center" vertical="center"/>
    </xf>
    <xf numFmtId="2" fontId="48" fillId="0" borderId="4" xfId="0" applyNumberFormat="1" applyFont="1" applyBorder="1" applyAlignment="1">
      <alignment horizontal="center" vertical="center" wrapText="1"/>
    </xf>
    <xf numFmtId="0" fontId="48" fillId="0" borderId="4" xfId="0" applyFont="1" applyBorder="1" applyAlignment="1">
      <alignment horizontal="center" vertical="center" wrapText="1"/>
    </xf>
    <xf numFmtId="2" fontId="66" fillId="0" borderId="4" xfId="0" applyNumberFormat="1" applyFont="1" applyBorder="1" applyAlignment="1">
      <alignment horizontal="center" vertical="center" wrapText="1"/>
    </xf>
    <xf numFmtId="0" fontId="66" fillId="0" borderId="4" xfId="0" applyFont="1" applyBorder="1" applyAlignment="1">
      <alignment horizontal="center" vertical="top"/>
    </xf>
    <xf numFmtId="0" fontId="48" fillId="0" borderId="4" xfId="0" applyFont="1" applyBorder="1" applyAlignment="1">
      <alignment horizontal="justify" vertical="top"/>
    </xf>
    <xf numFmtId="2" fontId="48" fillId="0" borderId="4" xfId="0" applyNumberFormat="1" applyFont="1" applyBorder="1" applyAlignment="1">
      <alignment horizontal="justify" vertical="top"/>
    </xf>
    <xf numFmtId="0" fontId="66" fillId="0" borderId="4" xfId="0" applyFont="1" applyBorder="1" applyAlignment="1">
      <alignment horizontal="center"/>
    </xf>
    <xf numFmtId="0" fontId="66" fillId="0" borderId="4" xfId="0" applyFont="1" applyBorder="1" applyAlignment="1">
      <alignment horizontal="left" vertical="center" wrapText="1"/>
    </xf>
    <xf numFmtId="0" fontId="48" fillId="0" borderId="0" xfId="0" applyFont="1" applyAlignment="1">
      <alignment horizontal="center" vertical="center"/>
    </xf>
    <xf numFmtId="0" fontId="48" fillId="0" borderId="4" xfId="0" applyFont="1" applyBorder="1" applyAlignment="1">
      <alignment horizontal="center" vertical="center"/>
    </xf>
    <xf numFmtId="2" fontId="66" fillId="0" borderId="4" xfId="0" applyNumberFormat="1" applyFont="1" applyBorder="1" applyAlignment="1">
      <alignment horizontal="center" vertical="center"/>
    </xf>
    <xf numFmtId="0" fontId="66" fillId="0" borderId="4" xfId="0" applyFont="1" applyBorder="1"/>
    <xf numFmtId="0" fontId="66" fillId="0" borderId="4" xfId="0" applyFont="1" applyBorder="1" applyAlignment="1">
      <alignment vertical="top"/>
    </xf>
    <xf numFmtId="164" fontId="66" fillId="0" borderId="4" xfId="0" applyNumberFormat="1" applyFont="1" applyBorder="1" applyAlignment="1">
      <alignment horizontal="center" vertical="center"/>
    </xf>
    <xf numFmtId="2" fontId="1" fillId="0" borderId="0" xfId="0" applyNumberFormat="1" applyFont="1"/>
    <xf numFmtId="0" fontId="10" fillId="0" borderId="4" xfId="0" applyFont="1" applyBorder="1" applyAlignment="1">
      <alignment horizontal="center" vertical="center" wrapText="1"/>
    </xf>
    <xf numFmtId="0" fontId="0" fillId="0" borderId="0" xfId="0"/>
    <xf numFmtId="0" fontId="0" fillId="0" borderId="0" xfId="0" applyAlignment="1">
      <alignment horizontal="center"/>
    </xf>
    <xf numFmtId="0" fontId="56" fillId="0" borderId="4" xfId="0" applyFont="1" applyBorder="1" applyAlignment="1">
      <alignment horizontal="right" wrapText="1"/>
    </xf>
    <xf numFmtId="0" fontId="31" fillId="0" borderId="0" xfId="0" applyFont="1" applyAlignment="1"/>
    <xf numFmtId="0" fontId="43" fillId="0" borderId="4" xfId="0" applyFont="1" applyBorder="1" applyAlignment="1">
      <alignment horizontal="center" vertical="center" wrapText="1"/>
    </xf>
    <xf numFmtId="0" fontId="69" fillId="0" borderId="4" xfId="0" applyFont="1" applyBorder="1" applyAlignment="1">
      <alignment vertical="top" wrapText="1"/>
    </xf>
    <xf numFmtId="0" fontId="42" fillId="0" borderId="4" xfId="0" applyFont="1" applyBorder="1" applyAlignment="1">
      <alignment vertical="center" wrapText="1"/>
    </xf>
    <xf numFmtId="2" fontId="42" fillId="0" borderId="4" xfId="0" applyNumberFormat="1" applyFont="1" applyBorder="1" applyAlignment="1">
      <alignment vertical="center" wrapText="1"/>
    </xf>
    <xf numFmtId="0" fontId="55" fillId="0" borderId="4" xfId="0" applyFont="1" applyBorder="1" applyAlignment="1">
      <alignment vertical="top"/>
    </xf>
    <xf numFmtId="0" fontId="43" fillId="0" borderId="4" xfId="0" applyFont="1" applyFill="1" applyBorder="1" applyAlignment="1">
      <alignment horizontal="center" vertical="top" wrapText="1"/>
    </xf>
    <xf numFmtId="0" fontId="70" fillId="0" borderId="4" xfId="0" applyFont="1" applyBorder="1" applyAlignment="1">
      <alignment vertical="center"/>
    </xf>
    <xf numFmtId="2" fontId="42" fillId="0" borderId="4" xfId="0" applyNumberFormat="1" applyFont="1" applyBorder="1" applyAlignment="1">
      <alignment horizontal="center" vertical="top"/>
    </xf>
    <xf numFmtId="0" fontId="56" fillId="0" borderId="4" xfId="0" applyFont="1" applyBorder="1" applyAlignment="1">
      <alignment horizontal="center"/>
    </xf>
    <xf numFmtId="2" fontId="3" fillId="0" borderId="1" xfId="0" applyNumberFormat="1" applyFont="1" applyBorder="1" applyAlignment="1">
      <alignment horizontal="center"/>
    </xf>
    <xf numFmtId="0" fontId="0" fillId="0" borderId="4" xfId="0" applyBorder="1"/>
    <xf numFmtId="2" fontId="0" fillId="0" borderId="4" xfId="0" applyNumberFormat="1" applyBorder="1"/>
    <xf numFmtId="0" fontId="35" fillId="0" borderId="4" xfId="0" applyFont="1" applyBorder="1" applyAlignment="1">
      <alignment horizontal="right" vertical="center"/>
    </xf>
    <xf numFmtId="0" fontId="63" fillId="0" borderId="0" xfId="0" applyFont="1"/>
    <xf numFmtId="2" fontId="42" fillId="0" borderId="4" xfId="0" applyNumberFormat="1" applyFont="1" applyBorder="1" applyAlignment="1">
      <alignment horizontal="center" vertical="center" wrapText="1"/>
    </xf>
    <xf numFmtId="2" fontId="35" fillId="0" borderId="4" xfId="0" applyNumberFormat="1" applyFont="1" applyBorder="1" applyAlignment="1">
      <alignment horizontal="center" vertical="center"/>
    </xf>
    <xf numFmtId="0" fontId="62" fillId="0" borderId="4" xfId="0" applyFont="1" applyBorder="1" applyAlignment="1">
      <alignment vertical="top" wrapText="1"/>
    </xf>
    <xf numFmtId="0" fontId="77" fillId="0" borderId="4" xfId="0" applyFont="1" applyBorder="1" applyAlignment="1">
      <alignment horizontal="left" vertical="top" wrapText="1"/>
    </xf>
    <xf numFmtId="0" fontId="77" fillId="0" borderId="4" xfId="0" applyFont="1" applyBorder="1" applyAlignment="1">
      <alignment horizontal="center" vertical="center" wrapText="1"/>
    </xf>
    <xf numFmtId="2" fontId="78" fillId="0" borderId="4" xfId="0" applyNumberFormat="1" applyFont="1" applyBorder="1" applyAlignment="1">
      <alignment horizontal="center" vertical="center"/>
    </xf>
    <xf numFmtId="0" fontId="78" fillId="0" borderId="4" xfId="0" applyFont="1" applyBorder="1" applyAlignment="1">
      <alignment horizontal="center" vertical="center"/>
    </xf>
    <xf numFmtId="0" fontId="43" fillId="0" borderId="7" xfId="0" applyFont="1" applyBorder="1" applyAlignment="1">
      <alignment vertical="center" wrapText="1"/>
    </xf>
    <xf numFmtId="0" fontId="43" fillId="0" borderId="7" xfId="0" applyFont="1" applyBorder="1" applyAlignment="1">
      <alignment vertical="top" wrapText="1"/>
    </xf>
    <xf numFmtId="2" fontId="42" fillId="0" borderId="7" xfId="0" applyNumberFormat="1" applyFont="1" applyBorder="1" applyAlignment="1">
      <alignment horizontal="center" vertical="center" wrapText="1"/>
    </xf>
    <xf numFmtId="0" fontId="42" fillId="0" borderId="4" xfId="0" applyFont="1" applyBorder="1" applyAlignment="1">
      <alignment horizontal="center" vertical="center"/>
    </xf>
    <xf numFmtId="167" fontId="42" fillId="0" borderId="4" xfId="0" applyNumberFormat="1" applyFont="1" applyBorder="1" applyAlignment="1">
      <alignment horizontal="center" vertical="center" wrapText="1"/>
    </xf>
    <xf numFmtId="2" fontId="80" fillId="0" borderId="4" xfId="0" applyNumberFormat="1" applyFont="1" applyBorder="1" applyAlignment="1"/>
    <xf numFmtId="0" fontId="9" fillId="0" borderId="4" xfId="0" applyFont="1" applyBorder="1" applyAlignment="1">
      <alignment horizontal="center" wrapText="1"/>
    </xf>
    <xf numFmtId="2" fontId="8" fillId="0" borderId="4" xfId="0" applyNumberFormat="1" applyFont="1" applyBorder="1" applyAlignment="1">
      <alignment horizontal="center" wrapText="1"/>
    </xf>
    <xf numFmtId="2" fontId="9" fillId="0" borderId="4" xfId="0" applyNumberFormat="1" applyFont="1" applyBorder="1" applyAlignment="1">
      <alignment horizontal="center" wrapText="1"/>
    </xf>
    <xf numFmtId="0" fontId="55" fillId="0" borderId="4" xfId="0" applyFont="1" applyBorder="1" applyAlignment="1">
      <alignment horizontal="left" vertical="top" wrapText="1"/>
    </xf>
    <xf numFmtId="2" fontId="55" fillId="0" borderId="4" xfId="0" applyNumberFormat="1" applyFont="1" applyBorder="1" applyAlignment="1">
      <alignment horizontal="center" wrapText="1"/>
    </xf>
    <xf numFmtId="2" fontId="81" fillId="0" borderId="4" xfId="0" applyNumberFormat="1" applyFont="1" applyBorder="1" applyAlignment="1">
      <alignment horizontal="center"/>
    </xf>
    <xf numFmtId="0" fontId="55" fillId="0" borderId="4" xfId="0" applyFont="1" applyBorder="1" applyAlignment="1">
      <alignment horizontal="center" wrapText="1"/>
    </xf>
    <xf numFmtId="2" fontId="57" fillId="0" borderId="4" xfId="0" applyNumberFormat="1" applyFont="1" applyBorder="1" applyAlignment="1">
      <alignment horizontal="center"/>
    </xf>
    <xf numFmtId="0" fontId="56" fillId="0" borderId="4" xfId="0" applyFont="1" applyBorder="1" applyAlignment="1">
      <alignment horizontal="center" wrapText="1"/>
    </xf>
    <xf numFmtId="165" fontId="56" fillId="0" borderId="4" xfId="0" applyNumberFormat="1" applyFont="1" applyBorder="1" applyAlignment="1">
      <alignment horizontal="center" wrapText="1"/>
    </xf>
    <xf numFmtId="2" fontId="56" fillId="0" borderId="4" xfId="0" applyNumberFormat="1" applyFont="1" applyBorder="1" applyAlignment="1">
      <alignment horizontal="right" wrapText="1"/>
    </xf>
    <xf numFmtId="0" fontId="55" fillId="0" borderId="4" xfId="0" applyFont="1" applyBorder="1" applyAlignment="1">
      <alignment horizontal="center" vertical="center"/>
    </xf>
    <xf numFmtId="0" fontId="55" fillId="0" borderId="1" xfId="0" applyFont="1" applyBorder="1" applyAlignment="1">
      <alignment horizontal="center" vertical="center"/>
    </xf>
    <xf numFmtId="0" fontId="55" fillId="0" borderId="2" xfId="0" applyFont="1" applyBorder="1" applyAlignment="1">
      <alignment horizontal="center" vertical="center"/>
    </xf>
    <xf numFmtId="0" fontId="55" fillId="0" borderId="3" xfId="0" applyFont="1" applyBorder="1" applyAlignment="1">
      <alignment horizontal="center" vertical="center"/>
    </xf>
    <xf numFmtId="0" fontId="42" fillId="0" borderId="1"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3" fillId="0" borderId="4" xfId="0" applyFont="1" applyBorder="1" applyAlignment="1">
      <alignment horizontal="right" vertical="center" wrapText="1"/>
    </xf>
    <xf numFmtId="0" fontId="27" fillId="0" borderId="4" xfId="0" applyFont="1" applyBorder="1" applyAlignment="1">
      <alignment horizontal="center" vertical="center"/>
    </xf>
    <xf numFmtId="0" fontId="10" fillId="0" borderId="4" xfId="0" applyFont="1" applyBorder="1" applyAlignment="1">
      <alignment horizontal="center" vertical="center"/>
    </xf>
    <xf numFmtId="0" fontId="10" fillId="0" borderId="4" xfId="0" applyFont="1" applyBorder="1" applyAlignment="1">
      <alignment horizontal="center" vertical="center" wrapText="1"/>
    </xf>
    <xf numFmtId="0" fontId="0" fillId="0" borderId="0" xfId="0"/>
    <xf numFmtId="0" fontId="0" fillId="0" borderId="0" xfId="0" applyAlignment="1">
      <alignment horizontal="center"/>
    </xf>
    <xf numFmtId="0" fontId="53" fillId="0" borderId="5" xfId="0" applyFont="1" applyBorder="1" applyAlignment="1">
      <alignment horizontal="center" vertical="center" wrapText="1"/>
    </xf>
    <xf numFmtId="0" fontId="56" fillId="0" borderId="4" xfId="0" applyFont="1" applyBorder="1" applyAlignment="1">
      <alignment horizontal="right" wrapText="1"/>
    </xf>
    <xf numFmtId="0" fontId="56" fillId="0" borderId="1" xfId="0" applyFont="1" applyBorder="1" applyAlignment="1">
      <alignment horizontal="right" wrapText="1"/>
    </xf>
    <xf numFmtId="0" fontId="56" fillId="0" borderId="3" xfId="0" applyFont="1" applyBorder="1" applyAlignment="1">
      <alignment horizontal="right" wrapText="1"/>
    </xf>
    <xf numFmtId="0" fontId="36" fillId="0" borderId="4" xfId="0" applyFont="1" applyBorder="1" applyAlignment="1">
      <alignment horizont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3" fillId="0" borderId="3" xfId="0" applyFont="1" applyBorder="1" applyAlignment="1">
      <alignment horizontal="center" wrapText="1"/>
    </xf>
    <xf numFmtId="0" fontId="53" fillId="0" borderId="4" xfId="0" applyFont="1" applyBorder="1" applyAlignment="1">
      <alignment horizontal="center" vertical="center"/>
    </xf>
    <xf numFmtId="0" fontId="42" fillId="0" borderId="1" xfId="0" applyFont="1" applyBorder="1" applyAlignment="1">
      <alignment horizontal="right" vertical="center"/>
    </xf>
    <xf numFmtId="0" fontId="42" fillId="0" borderId="2" xfId="0" applyFont="1" applyBorder="1" applyAlignment="1">
      <alignment horizontal="right" vertical="center"/>
    </xf>
    <xf numFmtId="0" fontId="42" fillId="0" borderId="3" xfId="0" applyFont="1" applyBorder="1" applyAlignment="1">
      <alignment horizontal="right"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1" fillId="0" borderId="1" xfId="0" applyFont="1" applyBorder="1" applyAlignment="1">
      <alignment horizontal="center" vertical="center"/>
    </xf>
    <xf numFmtId="0" fontId="61" fillId="0" borderId="2" xfId="0" applyFont="1" applyBorder="1" applyAlignment="1">
      <alignment horizontal="center" vertical="center"/>
    </xf>
    <xf numFmtId="0" fontId="61" fillId="0" borderId="3"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43" fillId="0" borderId="1" xfId="0" applyFont="1" applyBorder="1" applyAlignment="1">
      <alignment horizontal="right" vertical="center" wrapText="1"/>
    </xf>
    <xf numFmtId="0" fontId="43" fillId="0" borderId="2" xfId="0" applyFont="1" applyBorder="1" applyAlignment="1">
      <alignment horizontal="right" vertical="center" wrapText="1"/>
    </xf>
    <xf numFmtId="0" fontId="43" fillId="0" borderId="3" xfId="0" applyFont="1" applyBorder="1" applyAlignment="1">
      <alignment horizontal="right" vertical="center" wrapText="1"/>
    </xf>
    <xf numFmtId="0" fontId="73" fillId="0" borderId="1" xfId="0" applyFont="1" applyBorder="1" applyAlignment="1">
      <alignment horizontal="left" vertical="center" wrapText="1"/>
    </xf>
    <xf numFmtId="0" fontId="73" fillId="0" borderId="2" xfId="0" applyFont="1" applyBorder="1" applyAlignment="1">
      <alignment horizontal="left" vertical="center" wrapText="1"/>
    </xf>
    <xf numFmtId="0" fontId="73" fillId="0" borderId="3" xfId="0" applyFont="1" applyBorder="1" applyAlignment="1">
      <alignment horizontal="left" vertical="center" wrapText="1"/>
    </xf>
    <xf numFmtId="1" fontId="0" fillId="0" borderId="1" xfId="0" applyNumberFormat="1" applyBorder="1" applyAlignment="1">
      <alignment horizontal="center" vertical="center"/>
    </xf>
    <xf numFmtId="1" fontId="0" fillId="0" borderId="2" xfId="0" applyNumberFormat="1" applyBorder="1" applyAlignment="1">
      <alignment horizontal="center" vertical="center"/>
    </xf>
    <xf numFmtId="1" fontId="0" fillId="0" borderId="3" xfId="0" applyNumberFormat="1" applyBorder="1" applyAlignment="1">
      <alignment horizontal="center" vertical="center"/>
    </xf>
    <xf numFmtId="0" fontId="39" fillId="0" borderId="0" xfId="0" applyFont="1" applyAlignment="1">
      <alignment horizontal="center" vertical="center" wrapText="1"/>
    </xf>
    <xf numFmtId="0" fontId="41" fillId="0" borderId="5" xfId="0" applyFont="1" applyBorder="1" applyAlignment="1">
      <alignment horizontal="center" vertical="top" wrapText="1"/>
    </xf>
    <xf numFmtId="0" fontId="35" fillId="0" borderId="5" xfId="0" applyFont="1" applyBorder="1" applyAlignment="1">
      <alignment horizontal="center" vertical="top" wrapText="1"/>
    </xf>
    <xf numFmtId="0" fontId="42" fillId="0" borderId="2" xfId="0" applyFont="1" applyBorder="1" applyAlignment="1">
      <alignment horizontal="left" vertical="top" wrapText="1"/>
    </xf>
    <xf numFmtId="2" fontId="0" fillId="0" borderId="1" xfId="0" applyNumberFormat="1" applyBorder="1" applyAlignment="1">
      <alignment horizontal="center" vertical="center" wrapText="1"/>
    </xf>
    <xf numFmtId="2" fontId="0" fillId="0" borderId="2" xfId="0" applyNumberFormat="1" applyBorder="1" applyAlignment="1">
      <alignment horizontal="center" vertical="center" wrapText="1"/>
    </xf>
    <xf numFmtId="2" fontId="0" fillId="0" borderId="3" xfId="0" applyNumberFormat="1" applyBorder="1" applyAlignment="1">
      <alignment horizontal="center" vertical="center" wrapText="1"/>
    </xf>
    <xf numFmtId="0" fontId="11" fillId="0" borderId="2" xfId="0" applyFont="1" applyBorder="1" applyAlignment="1">
      <alignment horizontal="left" vertical="top"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19" fillId="0" borderId="1" xfId="0" applyFont="1" applyBorder="1" applyAlignment="1">
      <alignment horizontal="left" vertical="top" wrapText="1"/>
    </xf>
    <xf numFmtId="0" fontId="19" fillId="0" borderId="2" xfId="0" applyFont="1" applyBorder="1" applyAlignment="1">
      <alignment horizontal="left" vertical="top" wrapText="1"/>
    </xf>
    <xf numFmtId="0" fontId="19" fillId="0" borderId="3" xfId="0" applyFont="1" applyBorder="1" applyAlignment="1">
      <alignment horizontal="left" vertical="top" wrapText="1"/>
    </xf>
    <xf numFmtId="0" fontId="6" fillId="0" borderId="1" xfId="0" applyFont="1" applyBorder="1" applyAlignment="1">
      <alignment horizontal="left" vertical="top"/>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6"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17" fillId="0" borderId="1" xfId="0" applyFont="1" applyBorder="1" applyAlignment="1">
      <alignment horizontal="right" vertical="center"/>
    </xf>
    <xf numFmtId="0" fontId="17" fillId="0" borderId="2" xfId="0" applyFont="1" applyBorder="1" applyAlignment="1">
      <alignment horizontal="right" vertical="center"/>
    </xf>
    <xf numFmtId="0" fontId="17" fillId="0" borderId="3" xfId="0" applyFont="1" applyBorder="1" applyAlignment="1">
      <alignment horizontal="right" vertical="center"/>
    </xf>
    <xf numFmtId="0" fontId="17" fillId="0" borderId="1" xfId="0" applyFont="1" applyBorder="1" applyAlignment="1">
      <alignment horizontal="right"/>
    </xf>
    <xf numFmtId="0" fontId="17" fillId="0" borderId="2" xfId="0" applyFont="1" applyBorder="1" applyAlignment="1">
      <alignment horizontal="right"/>
    </xf>
    <xf numFmtId="0" fontId="17" fillId="0" borderId="3" xfId="0" applyFont="1" applyBorder="1" applyAlignment="1">
      <alignment horizontal="right"/>
    </xf>
    <xf numFmtId="0" fontId="15" fillId="0" borderId="5" xfId="0" applyFont="1" applyBorder="1" applyAlignment="1">
      <alignment horizontal="center" vertical="top" wrapText="1"/>
    </xf>
    <xf numFmtId="0" fontId="16" fillId="0" borderId="4" xfId="0" applyFont="1" applyBorder="1" applyAlignment="1">
      <alignment horizontal="center" vertical="top" wrapText="1"/>
    </xf>
    <xf numFmtId="0" fontId="5" fillId="0" borderId="4" xfId="0" applyFont="1" applyBorder="1" applyAlignment="1">
      <alignment horizontal="left" vertical="center" wrapText="1"/>
    </xf>
    <xf numFmtId="0" fontId="17" fillId="0" borderId="1" xfId="0" applyFont="1" applyBorder="1" applyAlignment="1">
      <alignment horizontal="right" wrapText="1"/>
    </xf>
    <xf numFmtId="0" fontId="17" fillId="0" borderId="2" xfId="0" applyFont="1" applyBorder="1" applyAlignment="1">
      <alignment horizontal="right" wrapText="1"/>
    </xf>
    <xf numFmtId="0" fontId="17" fillId="0" borderId="3" xfId="0" applyFont="1" applyBorder="1" applyAlignment="1">
      <alignment horizontal="right" wrapText="1"/>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17" fillId="0" borderId="4" xfId="0" applyFont="1" applyBorder="1" applyAlignment="1">
      <alignment horizontal="right" vertical="center"/>
    </xf>
    <xf numFmtId="0" fontId="17" fillId="0" borderId="4" xfId="0" applyFont="1" applyBorder="1" applyAlignment="1">
      <alignment horizontal="right"/>
    </xf>
    <xf numFmtId="0" fontId="26" fillId="0" borderId="6" xfId="0" applyFont="1" applyBorder="1" applyAlignment="1">
      <alignment horizontal="center" vertical="center"/>
    </xf>
    <xf numFmtId="0" fontId="26" fillId="0" borderId="0" xfId="0" applyFont="1" applyAlignment="1">
      <alignment horizontal="center" vertical="center"/>
    </xf>
    <xf numFmtId="0" fontId="27" fillId="0" borderId="4" xfId="0" applyFont="1" applyBorder="1" applyAlignment="1">
      <alignment horizontal="center" vertical="center" wrapText="1"/>
    </xf>
    <xf numFmtId="0" fontId="74" fillId="0" borderId="1" xfId="0" applyFont="1" applyBorder="1" applyAlignment="1">
      <alignment horizontal="left" vertical="top" wrapText="1"/>
    </xf>
    <xf numFmtId="0" fontId="74" fillId="0" borderId="2" xfId="0" applyFont="1" applyBorder="1" applyAlignment="1">
      <alignment horizontal="left" vertical="top" wrapText="1"/>
    </xf>
    <xf numFmtId="0" fontId="74" fillId="0" borderId="3" xfId="0" applyFont="1" applyBorder="1" applyAlignment="1">
      <alignment horizontal="left" vertical="top" wrapText="1"/>
    </xf>
    <xf numFmtId="0" fontId="17" fillId="0" borderId="4" xfId="0" applyFont="1" applyBorder="1" applyAlignment="1">
      <alignment horizontal="right" wrapText="1"/>
    </xf>
    <xf numFmtId="0" fontId="9" fillId="0" borderId="2" xfId="0" applyFont="1" applyBorder="1" applyAlignment="1">
      <alignment horizontal="left" vertical="top"/>
    </xf>
    <xf numFmtId="0" fontId="9" fillId="0" borderId="3" xfId="0" applyFont="1" applyBorder="1" applyAlignment="1">
      <alignment horizontal="left" vertical="top"/>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43" fillId="0" borderId="1" xfId="0" applyFont="1" applyBorder="1" applyAlignment="1">
      <alignment horizontal="left" vertical="top" wrapText="1"/>
    </xf>
    <xf numFmtId="0" fontId="43" fillId="0" borderId="2" xfId="0" applyFont="1" applyBorder="1" applyAlignment="1">
      <alignment horizontal="left" vertical="top" wrapText="1"/>
    </xf>
    <xf numFmtId="0" fontId="43" fillId="0" borderId="3" xfId="0" applyFont="1" applyBorder="1" applyAlignment="1">
      <alignment horizontal="left" vertical="top" wrapText="1"/>
    </xf>
    <xf numFmtId="0" fontId="9" fillId="0" borderId="1" xfId="0" applyFont="1" applyBorder="1" applyAlignment="1">
      <alignment horizontal="left" vertical="top"/>
    </xf>
    <xf numFmtId="0" fontId="35" fillId="0" borderId="1" xfId="0" applyFont="1" applyBorder="1" applyAlignment="1">
      <alignment horizontal="right"/>
    </xf>
    <xf numFmtId="0" fontId="35" fillId="0" borderId="2" xfId="0" applyFont="1" applyBorder="1" applyAlignment="1">
      <alignment horizontal="right"/>
    </xf>
    <xf numFmtId="0" fontId="35" fillId="0" borderId="3" xfId="0" applyFont="1" applyBorder="1" applyAlignment="1">
      <alignment horizontal="right"/>
    </xf>
    <xf numFmtId="0" fontId="68" fillId="0" borderId="0" xfId="0" applyFont="1" applyAlignment="1">
      <alignment horizontal="center" vertical="center"/>
    </xf>
    <xf numFmtId="0" fontId="68" fillId="6" borderId="0" xfId="0" applyFont="1" applyFill="1" applyAlignment="1">
      <alignment horizontal="center" vertical="center"/>
    </xf>
    <xf numFmtId="0" fontId="31" fillId="0" borderId="5" xfId="0" applyFont="1" applyBorder="1" applyAlignment="1">
      <alignment vertical="top" wrapText="1"/>
    </xf>
    <xf numFmtId="0" fontId="43" fillId="0" borderId="1" xfId="0" applyFont="1" applyBorder="1" applyAlignment="1">
      <alignment horizontal="right" wrapText="1"/>
    </xf>
    <xf numFmtId="0" fontId="43" fillId="0" borderId="2" xfId="0" applyFont="1" applyBorder="1" applyAlignment="1">
      <alignment horizontal="right" wrapText="1"/>
    </xf>
    <xf numFmtId="0" fontId="43" fillId="0" borderId="3" xfId="0" applyFont="1" applyBorder="1" applyAlignment="1">
      <alignment horizontal="right" wrapText="1"/>
    </xf>
    <xf numFmtId="0" fontId="33" fillId="0" borderId="1" xfId="0" applyFont="1" applyBorder="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14" fillId="0" borderId="2" xfId="0" applyFont="1" applyBorder="1" applyAlignment="1">
      <alignment horizontal="left" vertical="top"/>
    </xf>
    <xf numFmtId="0" fontId="14" fillId="0" borderId="3" xfId="0" applyFont="1" applyBorder="1" applyAlignment="1">
      <alignment horizontal="left" vertical="top"/>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17" fillId="0" borderId="3" xfId="0" applyFont="1" applyBorder="1" applyAlignment="1">
      <alignment horizontal="left" vertical="top" wrapText="1"/>
    </xf>
    <xf numFmtId="0" fontId="6" fillId="0" borderId="4" xfId="0" applyFont="1" applyBorder="1" applyAlignment="1">
      <alignment horizontal="left" vertical="top"/>
    </xf>
    <xf numFmtId="0" fontId="14" fillId="0" borderId="1" xfId="0" applyFont="1" applyBorder="1" applyAlignment="1">
      <alignment horizontal="left" vertical="top"/>
    </xf>
    <xf numFmtId="0" fontId="14" fillId="0" borderId="2" xfId="0" applyFont="1" applyBorder="1" applyAlignment="1">
      <alignment horizontal="right"/>
    </xf>
    <xf numFmtId="0" fontId="14" fillId="0" borderId="3" xfId="0" applyFont="1" applyBorder="1" applyAlignment="1">
      <alignment horizontal="right"/>
    </xf>
    <xf numFmtId="0" fontId="6" fillId="0" borderId="4" xfId="0" applyFont="1" applyBorder="1" applyAlignment="1">
      <alignment horizontal="right"/>
    </xf>
    <xf numFmtId="0" fontId="14" fillId="0" borderId="1" xfId="0" applyFont="1" applyBorder="1" applyAlignment="1">
      <alignment horizontal="right"/>
    </xf>
    <xf numFmtId="0" fontId="43" fillId="0" borderId="1" xfId="0" applyFont="1" applyBorder="1" applyAlignment="1">
      <alignment horizontal="right" vertical="top"/>
    </xf>
    <xf numFmtId="0" fontId="43" fillId="0" borderId="2" xfId="0" applyFont="1" applyBorder="1" applyAlignment="1">
      <alignment horizontal="right" vertical="top"/>
    </xf>
    <xf numFmtId="0" fontId="43" fillId="0" borderId="3" xfId="0" applyFont="1" applyBorder="1" applyAlignment="1">
      <alignment horizontal="right" vertical="top"/>
    </xf>
    <xf numFmtId="0" fontId="42" fillId="0" borderId="1" xfId="0" applyFont="1" applyBorder="1" applyAlignment="1">
      <alignment horizontal="right" vertical="top"/>
    </xf>
    <xf numFmtId="0" fontId="42" fillId="0" borderId="2" xfId="0" applyFont="1" applyBorder="1" applyAlignment="1">
      <alignment horizontal="right" vertical="top"/>
    </xf>
    <xf numFmtId="0" fontId="42" fillId="0" borderId="3" xfId="0" applyFont="1" applyBorder="1" applyAlignment="1">
      <alignment horizontal="right" vertical="top"/>
    </xf>
    <xf numFmtId="0" fontId="72" fillId="0" borderId="0" xfId="0" applyFont="1"/>
    <xf numFmtId="0" fontId="68" fillId="0" borderId="0" xfId="0" applyFont="1" applyAlignment="1">
      <alignment horizontal="center"/>
    </xf>
    <xf numFmtId="0" fontId="68" fillId="6" borderId="5" xfId="0" applyFont="1" applyFill="1" applyBorder="1" applyAlignment="1">
      <alignment horizontal="center"/>
    </xf>
    <xf numFmtId="0" fontId="31"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0" fillId="0" borderId="4" xfId="0" applyBorder="1" applyAlignment="1">
      <alignment horizontal="center"/>
    </xf>
    <xf numFmtId="0" fontId="45" fillId="0" borderId="0" xfId="0" applyFont="1" applyAlignment="1">
      <alignment horizontal="center"/>
    </xf>
    <xf numFmtId="0" fontId="46" fillId="0" borderId="0" xfId="0" applyFont="1" applyAlignment="1">
      <alignment horizontal="left" vertical="center" wrapText="1"/>
    </xf>
    <xf numFmtId="2" fontId="3" fillId="0" borderId="2" xfId="0" applyNumberFormat="1" applyFont="1" applyBorder="1" applyAlignment="1">
      <alignment horizontal="right" wrapText="1"/>
    </xf>
    <xf numFmtId="2" fontId="3" fillId="0" borderId="3" xfId="0" applyNumberFormat="1" applyFont="1" applyBorder="1" applyAlignment="1">
      <alignment horizontal="right" wrapText="1"/>
    </xf>
    <xf numFmtId="0" fontId="48" fillId="0" borderId="4" xfId="0" applyFont="1" applyBorder="1" applyAlignment="1">
      <alignment horizontal="center"/>
    </xf>
    <xf numFmtId="0" fontId="9" fillId="0" borderId="2" xfId="0" applyFont="1" applyBorder="1" applyAlignment="1">
      <alignment horizontal="right" vertical="top"/>
    </xf>
    <xf numFmtId="0" fontId="9" fillId="0" borderId="3" xfId="0" applyFont="1" applyBorder="1" applyAlignment="1">
      <alignment horizontal="right" vertical="top"/>
    </xf>
    <xf numFmtId="0" fontId="11" fillId="0" borderId="1" xfId="0" applyFont="1" applyBorder="1" applyAlignment="1">
      <alignment horizontal="left" vertical="top" wrapText="1"/>
    </xf>
    <xf numFmtId="0" fontId="11" fillId="0" borderId="3" xfId="0" applyFont="1" applyBorder="1" applyAlignment="1">
      <alignment horizontal="left" vertical="top" wrapText="1"/>
    </xf>
    <xf numFmtId="0" fontId="9" fillId="0" borderId="1" xfId="0" applyFont="1" applyBorder="1" applyAlignment="1">
      <alignment horizontal="right" vertical="top"/>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3" fillId="0" borderId="4" xfId="0" applyFont="1" applyBorder="1" applyAlignment="1">
      <alignment horizontal="right" vertical="center"/>
    </xf>
    <xf numFmtId="0" fontId="8" fillId="0" borderId="2" xfId="0" applyFont="1" applyBorder="1" applyAlignment="1">
      <alignment horizontal="right"/>
    </xf>
    <xf numFmtId="0" fontId="8" fillId="0" borderId="3" xfId="0" applyFont="1" applyBorder="1" applyAlignment="1">
      <alignment horizontal="right"/>
    </xf>
    <xf numFmtId="0" fontId="75" fillId="0" borderId="1" xfId="0" applyFont="1" applyBorder="1" applyAlignment="1">
      <alignment horizontal="center" vertical="top" wrapText="1"/>
    </xf>
    <xf numFmtId="0" fontId="76" fillId="0" borderId="2" xfId="0" applyFont="1" applyBorder="1" applyAlignment="1">
      <alignment horizontal="center" vertical="top" wrapText="1"/>
    </xf>
    <xf numFmtId="0" fontId="76" fillId="0" borderId="3" xfId="0" applyFont="1" applyBorder="1" applyAlignment="1">
      <alignment horizontal="center" vertical="top" wrapText="1"/>
    </xf>
    <xf numFmtId="0" fontId="75" fillId="5" borderId="1" xfId="0" applyFont="1" applyFill="1" applyBorder="1" applyAlignment="1">
      <alignment horizontal="center" vertical="top" wrapText="1"/>
    </xf>
    <xf numFmtId="0" fontId="75" fillId="5" borderId="2" xfId="0" applyFont="1" applyFill="1" applyBorder="1" applyAlignment="1">
      <alignment horizontal="center" vertical="top" wrapText="1"/>
    </xf>
    <xf numFmtId="0" fontId="75" fillId="5" borderId="3" xfId="0" applyFont="1" applyFill="1" applyBorder="1" applyAlignment="1">
      <alignment horizontal="center" vertical="top"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3" fillId="0" borderId="2" xfId="0" applyFont="1" applyBorder="1" applyAlignment="1">
      <alignment horizontal="right"/>
    </xf>
    <xf numFmtId="0" fontId="3" fillId="0" borderId="3" xfId="0" applyFont="1" applyBorder="1" applyAlignment="1">
      <alignment horizontal="right"/>
    </xf>
    <xf numFmtId="0" fontId="50" fillId="0" borderId="5" xfId="0" applyFont="1" applyBorder="1" applyAlignment="1">
      <alignment horizontal="center" vertical="top" wrapText="1"/>
    </xf>
    <xf numFmtId="0" fontId="51" fillId="0" borderId="5" xfId="0" applyFont="1" applyBorder="1" applyAlignment="1">
      <alignment horizontal="center" vertical="top" wrapText="1"/>
    </xf>
    <xf numFmtId="0" fontId="50" fillId="4" borderId="2" xfId="0" applyFont="1" applyFill="1" applyBorder="1" applyAlignment="1">
      <alignment horizontal="center" vertical="top" wrapText="1"/>
    </xf>
    <xf numFmtId="0" fontId="3" fillId="0" borderId="2" xfId="0" applyFont="1" applyBorder="1" applyAlignment="1">
      <alignment horizontal="left" vertical="top"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cellXfs>
  <cellStyles count="3">
    <cellStyle name="Comma" xfId="1" builtinId="3"/>
    <cellStyle name="Normal" xfId="0" builtinId="0"/>
    <cellStyle name="Normal 2" xfId="2"/>
  </cellStyles>
  <dxfs count="1">
    <dxf>
      <font>
        <condense val="0"/>
        <extend val="0"/>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3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66" Type="http://schemas.openxmlformats.org/officeDocument/2006/relationships/externalLink" Target="externalLinks/externalLink27.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61" Type="http://schemas.openxmlformats.org/officeDocument/2006/relationships/externalLink" Target="externalLinks/externalLink2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externalLink" Target="externalLinks/externalLink25.xml"/><Relationship Id="rId69" Type="http://schemas.openxmlformats.org/officeDocument/2006/relationships/externalLink" Target="externalLinks/externalLink30.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externalLink" Target="externalLinks/externalLink28.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externalLink" Target="externalLinks/externalLink23.xml"/><Relationship Id="rId70" Type="http://schemas.openxmlformats.org/officeDocument/2006/relationships/externalLink" Target="externalLinks/externalLink31.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a16="http://schemas.microsoft.com/office/drawing/2014/main" xmlns="" id="{00000000-0008-0000-0600-000003000000}"/>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a16="http://schemas.microsoft.com/office/drawing/2014/main" xmlns="" id="{7831EA4E-36EF-4004-9427-6355F3A790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116602</xdr:colOff>
      <xdr:row>0</xdr:row>
      <xdr:rowOff>695326</xdr:rowOff>
    </xdr:to>
    <xdr:pic>
      <xdr:nvPicPr>
        <xdr:cNvPr id="3" name="Picture 2" descr="RMC_LOGO.jpg">
          <a:extLst>
            <a:ext uri="{FF2B5EF4-FFF2-40B4-BE49-F238E27FC236}">
              <a16:creationId xmlns:a16="http://schemas.microsoft.com/office/drawing/2014/main" xmlns="" id="{351692A3-5327-4E28-9E54-77345F649E82}"/>
            </a:ext>
          </a:extLst>
        </xdr:cNvPr>
        <xdr:cNvPicPr>
          <a:picLocks noChangeAspect="1"/>
        </xdr:cNvPicPr>
      </xdr:nvPicPr>
      <xdr:blipFill>
        <a:blip xmlns:r="http://schemas.openxmlformats.org/officeDocument/2006/relationships" r:embed="rId2" cstate="print"/>
        <a:stretch>
          <a:fillRect/>
        </a:stretch>
      </xdr:blipFill>
      <xdr:spPr>
        <a:xfrm>
          <a:off x="4800601" y="47626"/>
          <a:ext cx="611901" cy="647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a16="http://schemas.microsoft.com/office/drawing/2014/main" xmlns="" id="{48A16655-1132-4D8A-8A08-AC235FFAB2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a16="http://schemas.microsoft.com/office/drawing/2014/main" xmlns="" id="{253D65FE-2370-4B81-A2A0-F9DA27D77B57}"/>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a16="http://schemas.microsoft.com/office/drawing/2014/main" xmlns="" id="{15D1B78D-67AF-4A31-AE44-722A66CFC4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a16="http://schemas.microsoft.com/office/drawing/2014/main" xmlns="" id="{6ADEE2DC-4DB2-49D7-AE07-C3E8BF0F0965}"/>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ARD%20-06/ROAD/PCC%20ROAD%20Bandhgari%20Krisn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ARD%20-07/DRAIN/RCC%20SLAB%20atKhorhatol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ARD%20-07/ROAD/PCC%20ROAD%20gadigaon%20Pahantoli%20kuwar%20rund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ARD-08/DRAIN/RCC%20DRain%20Sarna%20Toli%20Boli%20kotch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ARD-08/DRAIN/RCC%20DRain%20Adarsh%20Nagar%20Suresh%20Singh.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ard%2018/RCC%20DRAIN%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Admin/Downloads/badshah%20lodge%20gali.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CC%20DRain%20ved%20narayan%20gali.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Admin/Downloads/VISHAL%20JE/BITUMINOUS%20ROAD%20AT%20SHIV%20GANJ%20WARD%20NO.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Admin/Downloads/VISHAL%20JE/ward%2038%20boulder%20and%20rcc%20drain%20And%20RCC%20Bench%20%20At%20Ghasi%20Mohallah.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WARD-23\CULVERT\(1)%20CULVERT%20JAMIL%20AKTAR-2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I:\WARD-23\PCC%20ROAD\(5)%20KUTCHA%20PCC%20AOULIYA%20MASZID-2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I:\WARD-23\PCC%20ROAD\(7)%20KUTCHA%20PCC%20BEBY%20TABASSUM%20-23.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WARD-23\PCC%20ROAD\(4)%20PCC%20TASLIM%20MASZID%20TABREJ%20MEDICAL-23.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I:\WARD-23\PCC%20ROAD\(6)%20KUTCHA%20PCC%20SOUTH%20EAST%20SABBIR-2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WARD-24\PAVER%20BLOCK\(R)%20PAVER%20BLOCK,%20JAMIA%20HOUSSINIA-2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I:\WARD-24\PAVER%20BLOCK\(29)%20PAVER%20BLOCK%20&amp;%20%20RCC%20KURBAN%20GALI%20LAKHAN-2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WARD-24\RCC%20DRAIN\(1)%20RAILING%20RIVER%20SIDE%20LALALAJ%20PAT-2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I:\WARD-24\RCC%20DRAIN\(1)%20RCC%20KADRU%20SARNA%20TOLI,%20MUNNAZIR-2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Admin/Downloads/EWS%2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WARD-29\PAVER%20BLOCK\(2)%20PAVER%20BLOCK,%20SARNA%20ASTHAL.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WARD-29\PAVER%20BLOCK\(29)%20PAVER%20BLOCK%20&amp;%20%20RCC%20KURBAN%20GALI%20LAKHAN-29.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WARD-29\PAVER%20BLOCK\(1)%20PAVER%20BLOCK%20&amp;%20%20RCC%20KURBAN%20GALI%20LAKHAN-29.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WARD-29\RCC%20DRAIN-29\(3)%20DRAIN%20SHAHBAG%20Md.SHAH-29.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I:\WARD-29\RCC%20DRAIN-29\(1)%20DRAIN%20IRGU%20(1'6''x1'6'')%20ROAD%20TANVEER%20-29.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Admin/Downloads/vnd.openxmlformats-officedocument.spreadsheetml.sheet&amp;rendition=1.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UPENDRA%20JE\ILHI%20NAGAR%20RAJA%20JEE%20W.N.%2035.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I:\UPENDRA%20JE\P.C.C%20ROAD%20AT%20%20ILHI%20NAGAR%20MUSTKIM%20JEE%20W.N.%2035.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UPENDRA%20JE\P.C.C%20ROAD%20AT%20NEW%20ARIA%20PIPER%20TOLI%20BIMAL%20TOPPO%20W.N.%2035.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UPENDRA%20JE\P.C.C%20ROAD%20AT%20bazra%20w.n.%2035%20-%20Copy.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Users/Admin/Downloads/VISHAL%20JE/PAVER%20BLOCKS%20At%20New%20Pundag%20R%2010%20WARD%20NO%204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Admin/Downloads/VISHAL%20JE/PCC%20Road%20At%20BANK%20MODE%20SEC%202%20%20Ward%2041.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I:\ward%2013\(8)%20DRAIN%20K.%20BAGAN%20ROAD-7%20PRABHAT%20KUMAR%20(MOON%20BHAKLA-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Bandh€gari €krishna"/>
      <sheetName val="BOQ"/>
    </sheetNames>
    <sheetDataSet>
      <sheetData sheetId="0" refreshError="1">
        <row r="3">
          <cell r="A3" t="str">
            <v>Name of Work :- Construction of PCC Road at New Nagar Bandhgari from house of Yugal Singh Munda house to Prakash Ram house under ward no-06</v>
          </cell>
        </row>
        <row r="5">
          <cell r="A5" t="str">
            <v>1.            5.1.1</v>
          </cell>
          <cell r="B5"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8">
          <cell r="G8">
            <v>32.29</v>
          </cell>
          <cell r="I8">
            <v>151.82</v>
          </cell>
        </row>
        <row r="9">
          <cell r="A9" t="str">
            <v>2  4/M004</v>
          </cell>
          <cell r="B9"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2">
          <cell r="G12">
            <v>9.6300000000000008</v>
          </cell>
          <cell r="I12">
            <v>347.85</v>
          </cell>
        </row>
        <row r="13">
          <cell r="A13" t="str">
            <v>3 5.6.8WRD</v>
          </cell>
          <cell r="B13" t="str">
            <v>Supplying and laying (properly as per design and drawing) rip-rap with good  quality of boulders duly packed including the cost of materials, royalty all taxes etc. but excluding the cost of carriage all complete as per specification and direction of E/I.</v>
          </cell>
        </row>
        <row r="16">
          <cell r="G16">
            <v>23.22</v>
          </cell>
          <cell r="I16">
            <v>1756.4</v>
          </cell>
        </row>
        <row r="17">
          <cell r="A17" t="str">
            <v>4 5.3.1.1</v>
          </cell>
          <cell r="B17" t="str">
            <v>Providing and laying in position cement concrete of specified grade excluding the cost of centering and shuttering - All work up to plinth level1:1.5:3 (1 Cement : 1.5 coarse sand zone(III): 3 graded stone aggregate 20mm nominal size)</v>
          </cell>
        </row>
        <row r="20">
          <cell r="G20">
            <v>28.32</v>
          </cell>
          <cell r="I20">
            <v>4961.7299999999996</v>
          </cell>
        </row>
        <row r="21">
          <cell r="A21" t="str">
            <v>55.3.17.1</v>
          </cell>
          <cell r="B21" t="str">
            <v>Centering and Shuttering including strutting, propping etc and removal of from for   Foundation , footing , bases of columns etc for mass concrete.</v>
          </cell>
        </row>
        <row r="24">
          <cell r="G24">
            <v>18.59</v>
          </cell>
          <cell r="I24">
            <v>194.5</v>
          </cell>
        </row>
        <row r="26">
          <cell r="G26">
            <v>12.18</v>
          </cell>
        </row>
        <row r="27">
          <cell r="G27">
            <v>9.6300000000000008</v>
          </cell>
        </row>
        <row r="28">
          <cell r="G28">
            <v>23.22</v>
          </cell>
        </row>
        <row r="29">
          <cell r="G29">
            <v>24.36</v>
          </cell>
        </row>
        <row r="30">
          <cell r="G30">
            <v>32.29</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rain"/>
      <sheetName val="Drain Mat"/>
      <sheetName val="Khorhatoli Slab"/>
      <sheetName val="Sheet3"/>
    </sheetNames>
    <sheetDataSet>
      <sheetData sheetId="0" refreshError="1">
        <row r="3">
          <cell r="A3" t="str">
            <v>Name of Work :-Construction of RCC Slab in open Drain at Kokar,Khorhatoli from DON Bosco gate to Mission colony under ward no-07</v>
          </cell>
        </row>
        <row r="5">
          <cell r="A5">
            <v>1</v>
          </cell>
          <cell r="B5" t="str">
            <v>Providing labour for cleaning the site before and after the work.</v>
          </cell>
        </row>
        <row r="8">
          <cell r="G8">
            <v>10</v>
          </cell>
          <cell r="I8">
            <v>326.85000000000002</v>
          </cell>
        </row>
        <row r="9">
          <cell r="A9" t="str">
            <v>2 5.3.11</v>
          </cell>
          <cell r="B9" t="str">
            <v>Renforced cement conrete work in beams, suspended floors, having slopeup to 15' landing, balconies, shelves, chajjas, lintels, bands, plain windowsill ---------do----do-------E/I1:1.5:3 (1 Cement : 1.5 coarse sand zone(III): 3 graded stone aggregate 20mm nominal size)</v>
          </cell>
        </row>
        <row r="12">
          <cell r="G12">
            <v>50.98</v>
          </cell>
          <cell r="I12">
            <v>6308.87</v>
          </cell>
        </row>
        <row r="13">
          <cell r="A13">
            <v>3</v>
          </cell>
          <cell r="B13" t="str">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ell>
        </row>
        <row r="18">
          <cell r="A18" t="str">
            <v>(A)5.5.4</v>
          </cell>
          <cell r="B18" t="str">
            <v>08mm dia 40%</v>
          </cell>
          <cell r="G18">
            <v>1.62</v>
          </cell>
          <cell r="H18" t="str">
            <v>M.T.</v>
          </cell>
          <cell r="I18">
            <v>83314.02</v>
          </cell>
        </row>
        <row r="19">
          <cell r="A19" t="str">
            <v>(B)5.5.5(a)</v>
          </cell>
          <cell r="B19" t="str">
            <v>10mm dia 60%</v>
          </cell>
          <cell r="G19">
            <v>2.4300000000000002</v>
          </cell>
          <cell r="I19">
            <v>82096.539999999994</v>
          </cell>
        </row>
        <row r="21">
          <cell r="A21" t="str">
            <v>45.3.17.1</v>
          </cell>
          <cell r="B21" t="str">
            <v>Centering and Shuttering including strutting, propping etc and removal of from for   Foundation , footing , bases of columns etc for mass concrete.</v>
          </cell>
        </row>
        <row r="24">
          <cell r="G24">
            <v>111.52</v>
          </cell>
          <cell r="H24" t="str">
            <v>m2</v>
          </cell>
          <cell r="I24">
            <v>194.5</v>
          </cell>
        </row>
        <row r="26">
          <cell r="G26">
            <v>21.92</v>
          </cell>
        </row>
        <row r="27">
          <cell r="G27">
            <v>43.84</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Gadigaon Kuwar €runda"/>
      <sheetName val="BOQ"/>
    </sheetNames>
    <sheetDataSet>
      <sheetData sheetId="0">
        <row r="3">
          <cell r="A3" t="str">
            <v>Name of Work :- Construction of PCC Road at Gadigaon,Pahantoli from house of Kunwar Runda to house of Surendra Kujur under ward no-07</v>
          </cell>
        </row>
        <row r="9">
          <cell r="B9"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2">
          <cell r="I12">
            <v>347.85</v>
          </cell>
        </row>
        <row r="13">
          <cell r="B13" t="str">
            <v>Supplying and laying (properly as per design and drawing) rip-rap with good  quality of boulders duly packed including the cost of materials, royalty all taxes etc. but excluding the cost of carriage all complete as per specification and direction of E/I.</v>
          </cell>
        </row>
        <row r="16">
          <cell r="I16">
            <v>1756.4</v>
          </cell>
        </row>
        <row r="17">
          <cell r="B17" t="str">
            <v>Providing and laying in position cement concrete of specified grade excluding the cost of centering and shuttering - All work up to plinth level1:1.5:3 (1 Cement : 1.5 coarse sand zone(III): 3 graded stone aggregate 20mm nominal size)</v>
          </cell>
        </row>
        <row r="26">
          <cell r="I26">
            <v>848.82</v>
          </cell>
        </row>
        <row r="27">
          <cell r="I27">
            <v>447.06</v>
          </cell>
        </row>
        <row r="28">
          <cell r="I28">
            <v>679.66</v>
          </cell>
        </row>
        <row r="29">
          <cell r="I29">
            <v>447.06</v>
          </cell>
        </row>
        <row r="30">
          <cell r="I30">
            <v>117.54</v>
          </cell>
        </row>
      </sheetData>
      <sheetData sheetId="1"/>
      <sheetData sheetId="2"/>
      <sheetData sheetId="3"/>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rain"/>
      <sheetName val="Drain Mat"/>
      <sheetName val="Tiril sarna Toli Boli Kotcha"/>
      <sheetName val="Sheet3"/>
    </sheetNames>
    <sheetDataSet>
      <sheetData sheetId="0" refreshError="1">
        <row r="3">
          <cell r="A3" t="str">
            <v>Name of Work :-Construction of RCC Drain at Tiril Sarnatoli,Mahabir Nagar Boli Kotcha from Sadhu Sharan Mahto house to Sakuntala Devi house under ward no-08</v>
          </cell>
        </row>
        <row r="5">
          <cell r="A5" t="str">
            <v>1            5.10.2</v>
          </cell>
          <cell r="B5" t="str">
            <v xml:space="preserve">Dismantling plain cement or lime concrete work including stacking serviceable materials in countable stacks within 15M.lead and disposal of unserviceable materials with all leads complete  as per direction of E/I.              </v>
          </cell>
        </row>
        <row r="8">
          <cell r="G8">
            <v>1.42</v>
          </cell>
          <cell r="I8">
            <v>955.89</v>
          </cell>
        </row>
        <row r="9">
          <cell r="A9" t="str">
            <v>2            5.1.1</v>
          </cell>
          <cell r="B9"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13">
          <cell r="G13">
            <v>57.26</v>
          </cell>
          <cell r="I13">
            <v>151.82</v>
          </cell>
        </row>
        <row r="14">
          <cell r="A14" t="str">
            <v>34/M004</v>
          </cell>
        </row>
        <row r="18">
          <cell r="G18">
            <v>3.55</v>
          </cell>
        </row>
        <row r="19">
          <cell r="A19" t="str">
            <v>45.6.8</v>
          </cell>
        </row>
        <row r="23">
          <cell r="G23">
            <v>9.09</v>
          </cell>
        </row>
        <row r="24">
          <cell r="A24" t="str">
            <v>55.3.10</v>
          </cell>
        </row>
        <row r="30">
          <cell r="G30">
            <v>24.09</v>
          </cell>
          <cell r="I30">
            <v>6082.45</v>
          </cell>
        </row>
        <row r="31">
          <cell r="A31" t="str">
            <v>6 5.3.11</v>
          </cell>
          <cell r="B31" t="str">
            <v>Renforced cement conrete work in beams, suspended floors, having slopeup to 15' landing, balconies, shelves, chajjas, lintels, bands, plain windowsill ---------do----do-------E/I1:1.5:3 (1 Cement : 1.5 coarse sand zone(III): 3 graded stone aggregate 20mm nominal size)</v>
          </cell>
        </row>
        <row r="35">
          <cell r="G35">
            <v>11.28</v>
          </cell>
          <cell r="I35">
            <v>6308.87</v>
          </cell>
        </row>
        <row r="36">
          <cell r="A36">
            <v>7</v>
          </cell>
          <cell r="B36" t="str">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ell>
        </row>
        <row r="41">
          <cell r="A41" t="str">
            <v>(A)5.5.4</v>
          </cell>
          <cell r="B41" t="str">
            <v>08mm dia 40%</v>
          </cell>
          <cell r="G41">
            <v>1.1240000000000001</v>
          </cell>
          <cell r="H41" t="str">
            <v>M.T.</v>
          </cell>
          <cell r="I41">
            <v>83314.02</v>
          </cell>
        </row>
        <row r="42">
          <cell r="A42" t="str">
            <v>(B)5.5.5(a)</v>
          </cell>
          <cell r="B42" t="str">
            <v>10mm dia 60%</v>
          </cell>
          <cell r="G42">
            <v>1.6859999999999999</v>
          </cell>
          <cell r="I42">
            <v>82096.539999999994</v>
          </cell>
        </row>
        <row r="44">
          <cell r="A44" t="str">
            <v>85.3.17.1</v>
          </cell>
          <cell r="B44" t="str">
            <v>Centering and Shuttering including strutting, propping etc and removal of from for   Foundation , footing , bases of columns etc for mass concrete.</v>
          </cell>
        </row>
        <row r="50">
          <cell r="G50">
            <v>250.94</v>
          </cell>
          <cell r="H50" t="str">
            <v>m2</v>
          </cell>
          <cell r="I50">
            <v>194.5</v>
          </cell>
        </row>
        <row r="52">
          <cell r="G52">
            <v>15.209999999999999</v>
          </cell>
        </row>
        <row r="53">
          <cell r="B53" t="str">
            <v>Stone Dust (Lead 22 KM)</v>
          </cell>
          <cell r="G53">
            <v>3.55</v>
          </cell>
        </row>
        <row r="54">
          <cell r="G54">
            <v>9.09</v>
          </cell>
        </row>
        <row r="55">
          <cell r="G55">
            <v>30.419999999999998</v>
          </cell>
        </row>
        <row r="56">
          <cell r="G56">
            <v>57.26</v>
          </cell>
        </row>
      </sheetData>
      <sheetData sheetId="1" refreshError="1"/>
      <sheetData sheetId="2" refreshError="1"/>
      <sheetData sheetId="3"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rain"/>
      <sheetName val="Drain Mat"/>
      <sheetName val="Suresh Singh"/>
      <sheetName val="Sheet3"/>
    </sheetNames>
    <sheetDataSet>
      <sheetData sheetId="0" refreshError="1">
        <row r="3">
          <cell r="A3" t="str">
            <v>Name of Work :-Construction of RCC Drain at Adarsh nagar from house of Suresh Singh to house of Baijnath Paswan under ward no-08</v>
          </cell>
        </row>
        <row r="5">
          <cell r="A5" t="str">
            <v>1            5.10.2</v>
          </cell>
          <cell r="B5" t="str">
            <v xml:space="preserve">Dismantling plain cement or lime concrete work including stacking serviceable materials in countable stacks within 15M.lead and disposal of unserviceable materials with all leads complete  as per direction of E/I.              </v>
          </cell>
        </row>
        <row r="8">
          <cell r="G8">
            <v>0.6</v>
          </cell>
          <cell r="I8">
            <v>955.89</v>
          </cell>
        </row>
        <row r="9">
          <cell r="A9" t="str">
            <v>2            5.1.1</v>
          </cell>
          <cell r="B9"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13">
          <cell r="G13">
            <v>23.04</v>
          </cell>
          <cell r="I13">
            <v>151.82</v>
          </cell>
        </row>
        <row r="14">
          <cell r="A14" t="str">
            <v>34/M004</v>
          </cell>
        </row>
        <row r="18">
          <cell r="G18">
            <v>1.43</v>
          </cell>
        </row>
        <row r="19">
          <cell r="A19" t="str">
            <v>45.6.8</v>
          </cell>
        </row>
        <row r="23">
          <cell r="G23">
            <v>3.68</v>
          </cell>
        </row>
        <row r="24">
          <cell r="A24" t="str">
            <v>55.3.10</v>
          </cell>
        </row>
        <row r="30">
          <cell r="G30">
            <v>9.89</v>
          </cell>
          <cell r="I30">
            <v>6082.45</v>
          </cell>
        </row>
        <row r="31">
          <cell r="A31" t="str">
            <v>6 5.3.11</v>
          </cell>
          <cell r="B31" t="str">
            <v>Renforced cement conrete work in beams, suspended floors, having slopeup to 15' landing, balconies, shelves, chajjas, lintels, bands, plain windowsill ---------do----do-------E/I1:1.5:3 (1 Cement : 1.5 coarse sand zone(III): 3 graded stone aggregate 20mm nominal size)</v>
          </cell>
        </row>
        <row r="35">
          <cell r="G35">
            <v>4.76</v>
          </cell>
          <cell r="I35">
            <v>6308.87</v>
          </cell>
        </row>
        <row r="36">
          <cell r="A36">
            <v>7</v>
          </cell>
          <cell r="B36" t="str">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ell>
        </row>
        <row r="41">
          <cell r="A41" t="str">
            <v>(A)5.5.4</v>
          </cell>
          <cell r="B41" t="str">
            <v>08mm dia 40%</v>
          </cell>
          <cell r="G41">
            <v>0.46600000000000003</v>
          </cell>
          <cell r="H41" t="str">
            <v>M.T.</v>
          </cell>
          <cell r="I41">
            <v>83314.02</v>
          </cell>
        </row>
        <row r="42">
          <cell r="A42" t="str">
            <v>(B)5.5.5(a)</v>
          </cell>
          <cell r="B42" t="str">
            <v>10mm dia 60%</v>
          </cell>
          <cell r="G42">
            <v>0.69799999999999995</v>
          </cell>
          <cell r="I42">
            <v>82096.539999999994</v>
          </cell>
        </row>
        <row r="44">
          <cell r="A44" t="str">
            <v>85.3.17.1</v>
          </cell>
          <cell r="B44" t="str">
            <v>Centering and Shuttering including strutting, propping etc and removal of from for   Foundation , footing , bases of columns etc for mass concrete.</v>
          </cell>
        </row>
        <row r="50">
          <cell r="G50">
            <v>98.22</v>
          </cell>
          <cell r="H50" t="str">
            <v>m2</v>
          </cell>
          <cell r="I50">
            <v>194.5</v>
          </cell>
        </row>
        <row r="52">
          <cell r="G52">
            <v>6.3</v>
          </cell>
        </row>
        <row r="53">
          <cell r="B53" t="str">
            <v>Stone Dust (Lead 22 KM)</v>
          </cell>
          <cell r="G53">
            <v>1.43</v>
          </cell>
        </row>
        <row r="54">
          <cell r="G54">
            <v>3.68</v>
          </cell>
        </row>
        <row r="55">
          <cell r="G55">
            <v>12.6</v>
          </cell>
        </row>
        <row r="56">
          <cell r="G56">
            <v>23.04</v>
          </cell>
        </row>
      </sheetData>
      <sheetData sheetId="1" refreshError="1"/>
      <sheetData sheetId="2" refreshError="1"/>
      <sheetData sheetId="3"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efreshError="1"/>
      <sheetData sheetId="1" refreshError="1">
        <row r="8">
          <cell r="F8">
            <v>6.372132540356839</v>
          </cell>
          <cell r="G8">
            <v>13.700084961767205</v>
          </cell>
          <cell r="H8">
            <v>27.40016992353441</v>
          </cell>
          <cell r="J8">
            <v>10.705182667799489</v>
          </cell>
          <cell r="K8">
            <v>68.054375531011047</v>
          </cell>
        </row>
      </sheetData>
      <sheetData sheetId="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efreshError="1"/>
      <sheetData sheetId="1" refreshError="1">
        <row r="9">
          <cell r="F9">
            <v>3.1152647975077881</v>
          </cell>
          <cell r="G9">
            <v>25.451713395638627</v>
          </cell>
          <cell r="H9">
            <v>50.903426791277255</v>
          </cell>
          <cell r="J9">
            <v>5.2336448598130829</v>
          </cell>
          <cell r="K9">
            <v>0.12744265080713679</v>
          </cell>
        </row>
      </sheetData>
      <sheetData sheetId="2"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Sheet1"/>
      <sheetName val="BOQ"/>
      <sheetName val="Sheet2"/>
      <sheetName val="Sheet3"/>
      <sheetName val="Khorha Toli Lane-01"/>
    </sheetNames>
    <sheetDataSet>
      <sheetData sheetId="0" refreshError="1"/>
      <sheetData sheetId="1" refreshError="1"/>
      <sheetData sheetId="2" refreshError="1">
        <row r="9">
          <cell r="E9">
            <v>1.5</v>
          </cell>
          <cell r="F9">
            <v>4.5199999999999996</v>
          </cell>
          <cell r="G9">
            <v>9.0300000000000011</v>
          </cell>
          <cell r="H9">
            <v>2.46</v>
          </cell>
          <cell r="I9">
            <v>13.03</v>
          </cell>
        </row>
      </sheetData>
      <sheetData sheetId="3" refreshError="1"/>
      <sheetData sheetId="4"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Estimate"/>
      <sheetName val="Material"/>
      <sheetName val="Sheet3"/>
    </sheetNames>
    <sheetDataSet>
      <sheetData sheetId="0">
        <row r="6">
          <cell r="A6" t="str">
            <v xml:space="preserve">2.     RCD  5.02 (iii) </v>
          </cell>
        </row>
        <row r="11">
          <cell r="A11" t="str">
            <v xml:space="preserve">3.   RCD 5.03 (i) </v>
          </cell>
        </row>
        <row r="18">
          <cell r="A18" t="str">
            <v xml:space="preserve">4.    RCD  5.05 (A) </v>
          </cell>
        </row>
        <row r="23">
          <cell r="A23" t="str">
            <v xml:space="preserve">5.   RCD  8.13 </v>
          </cell>
        </row>
      </sheetData>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TAILED ESTIMATE"/>
      <sheetName val="MATERIAL STATEMENT"/>
    </sheetNames>
    <sheetDataSet>
      <sheetData sheetId="0" refreshError="1">
        <row r="5">
          <cell r="A5" t="str">
            <v>2.       (J.B.C.D 5.1.1+ 5.1.2)</v>
          </cell>
          <cell r="B5" t="str">
            <v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v>
          </cell>
        </row>
        <row r="9">
          <cell r="I9">
            <v>151.82</v>
          </cell>
        </row>
        <row r="10">
          <cell r="B10" t="str">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v>
          </cell>
        </row>
        <row r="15">
          <cell r="B15" t="str">
            <v xml:space="preserve"> Supplying and laying (properly as per design and drawing )rip-rap with good quality of boulders duly packed including the cost of materials,royalty all taxes etc.but excluding the cost of carriage, all complete as per specification and direction of E/I.</v>
          </cell>
        </row>
        <row r="20">
          <cell r="A20" t="str">
            <v>5.             J.B.C.D.  5.3.10</v>
          </cell>
          <cell r="B20" t="str">
            <v>Reinforced cement concrete work in walls (any thickness), including attached pilasters, piers, abutments, posts and struts etc.above plinth level, excluding cost of centering, shuttering, finishing and reinforce:      1:1.5:3 (1 cement:1.5:coarse sand (zone-III):3 graded stone aggregate 20 mm nominal size)</v>
          </cell>
        </row>
        <row r="25">
          <cell r="A25" t="str">
            <v>6.   (J.B.C.D.-5.5.4  + 5.5.5a</v>
          </cell>
          <cell r="B25" t="str">
            <v xml:space="preserve">Providing Tor steel reinforcement of 10mm and 8mm dia bars as per approved design and drawing -----do-----do-----(a)10mm(TMT coil Fe 500)(Only valid for SAIL , TATA Steel) @2.5Kg/cft  </v>
          </cell>
        </row>
        <row r="44">
          <cell r="B44" t="str">
            <v>Providing  Precast R.C.C M 200 in nominal mix (1:1.5:3) in slab ……..do…..all complete as per specification and direction of E/I.</v>
          </cell>
        </row>
        <row r="49">
          <cell r="B49" t="str">
            <v>Providing  Tor steel reinforcement of 10mm dia  bars as per approved design and drawing –do-- --do—</v>
          </cell>
        </row>
        <row r="53">
          <cell r="B53" t="str">
            <v>Centering and shuttering including strutting, propping etc . And removal of form for foundation ,footings, base of columns, etc. for mass concrete</v>
          </cell>
        </row>
        <row r="64">
          <cell r="B64" t="str">
            <v>EARTH-LEAD-1km</v>
          </cell>
        </row>
      </sheetData>
      <sheetData sheetId="1"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efreshError="1">
        <row r="2">
          <cell r="B2" t="str">
            <v>Name of Work :- CONSTRUCTION OF RCC CULVERT NEAR EX. COUNCILLAR JAMIL AKTAR HOUSE UNDER WARD NO:-23</v>
          </cell>
        </row>
        <row r="4">
          <cell r="A4">
            <v>1</v>
          </cell>
          <cell r="B4" t="str">
            <v>Labour for cleaning the work site before and after work etc.</v>
          </cell>
          <cell r="G4">
            <v>3</v>
          </cell>
          <cell r="H4" t="str">
            <v>Each</v>
          </cell>
          <cell r="I4">
            <v>326.85000000000002</v>
          </cell>
        </row>
        <row r="5">
          <cell r="A5" t="str">
            <v>2     5.10.2</v>
          </cell>
          <cell r="B5" t="str">
            <v>Dismantling plain cement or lime concrete work including ………do…….complete as per specification and  direction of E/I.</v>
          </cell>
        </row>
        <row r="9">
          <cell r="G9">
            <v>0.34</v>
          </cell>
          <cell r="I9">
            <v>955.89</v>
          </cell>
        </row>
        <row r="10">
          <cell r="A10" t="str">
            <v>3
5.10.3</v>
          </cell>
          <cell r="B10" t="str">
            <v>Dismantling R.C.C work  including stacking serviceable materials in countable stacks within 15M.lead and disposal of unserviceable materials with all leads complete  as per direction of E/I.</v>
          </cell>
        </row>
        <row r="14">
          <cell r="G14">
            <v>0.28000000000000003</v>
          </cell>
          <cell r="I14">
            <v>1993.04</v>
          </cell>
        </row>
        <row r="15">
          <cell r="A15" t="str">
            <v xml:space="preserve">4.            5.1.1      </v>
          </cell>
        </row>
        <row r="19">
          <cell r="G19">
            <v>10.92</v>
          </cell>
          <cell r="I19">
            <v>151.82</v>
          </cell>
        </row>
        <row r="20">
          <cell r="A20" t="str">
            <v>5.           M-004</v>
          </cell>
          <cell r="B20" t="str">
            <v xml:space="preserve">Providing stone cruster dust finer than 3mm with not more than 10% passing 0.075 sieve at Quarry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v>
          </cell>
        </row>
        <row r="23">
          <cell r="G23">
            <v>0.61</v>
          </cell>
          <cell r="I23">
            <v>481.67</v>
          </cell>
        </row>
        <row r="24">
          <cell r="A24" t="str">
            <v>6
 5.6.8</v>
          </cell>
          <cell r="B24" t="str">
            <v>Supplying and laying (properly as per design and drawing) rip-rap with good  quality of boulders duly packed including the cost of materials, royalty all taxes etc. but excluding the cost of carriage all complete as per specification and direction of E/I.</v>
          </cell>
        </row>
        <row r="27">
          <cell r="G27">
            <v>1.03</v>
          </cell>
          <cell r="I27">
            <v>1756.4</v>
          </cell>
        </row>
        <row r="28">
          <cell r="A28" t="str">
            <v>7   5.3.2.1</v>
          </cell>
          <cell r="B28" t="str">
            <v>Providing R.C.C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v>
          </cell>
        </row>
        <row r="32">
          <cell r="G32">
            <v>3.51</v>
          </cell>
          <cell r="I32">
            <v>6082.45</v>
          </cell>
        </row>
        <row r="33">
          <cell r="A33" t="str">
            <v>8                  5.3.11</v>
          </cell>
          <cell r="B33" t="str">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ell>
        </row>
        <row r="36">
          <cell r="G36">
            <v>1.65</v>
          </cell>
          <cell r="I36">
            <v>6308.87</v>
          </cell>
        </row>
        <row r="37">
          <cell r="A37">
            <v>9</v>
          </cell>
          <cell r="B37" t="str">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ell>
        </row>
        <row r="41">
          <cell r="G41">
            <v>0.21</v>
          </cell>
          <cell r="I41">
            <v>83314.02</v>
          </cell>
        </row>
        <row r="45">
          <cell r="G45">
            <v>0.26</v>
          </cell>
          <cell r="I45">
            <v>82096.539999999994</v>
          </cell>
        </row>
        <row r="46">
          <cell r="A46" t="str">
            <v>10                 5.3.17.1</v>
          </cell>
          <cell r="B46" t="str">
            <v>Centering and shuttering including strutting, propping etc. and removal of from for Foundations,footings, bases of columns, etc. for mass concrete.</v>
          </cell>
        </row>
        <row r="50">
          <cell r="G50">
            <v>13.01</v>
          </cell>
          <cell r="I50">
            <v>194.5</v>
          </cell>
        </row>
        <row r="51">
          <cell r="A51">
            <v>11</v>
          </cell>
        </row>
        <row r="52">
          <cell r="G52">
            <v>2.2199999999999998</v>
          </cell>
          <cell r="I52">
            <v>848.82</v>
          </cell>
        </row>
        <row r="53">
          <cell r="G53">
            <v>0.61</v>
          </cell>
          <cell r="I53">
            <v>447.06</v>
          </cell>
        </row>
        <row r="54">
          <cell r="G54">
            <v>1.03</v>
          </cell>
          <cell r="I54">
            <v>679.66</v>
          </cell>
        </row>
        <row r="55">
          <cell r="G55">
            <v>4.4399999999999995</v>
          </cell>
          <cell r="I55">
            <v>447.06</v>
          </cell>
        </row>
        <row r="56">
          <cell r="G56">
            <v>10.92</v>
          </cell>
          <cell r="I56">
            <v>117.54</v>
          </cell>
        </row>
      </sheetData>
      <sheetData sheetId="1" refreshError="1"/>
      <sheetData sheetId="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PCC ROAD AT GOWALA TOTI, BESIDE GALI MASZID AOULIYA UNDER WARD NO-23</v>
          </cell>
        </row>
        <row r="4">
          <cell r="A4">
            <v>1</v>
          </cell>
          <cell r="B4" t="str">
            <v>Labour for site clearence before and after the work etc.</v>
          </cell>
          <cell r="G4">
            <v>1</v>
          </cell>
          <cell r="H4" t="str">
            <v>No.</v>
          </cell>
          <cell r="I4">
            <v>326.85000000000002</v>
          </cell>
        </row>
        <row r="5">
          <cell r="A5" t="str">
            <v>2       5.1.1.</v>
          </cell>
          <cell r="B5" t="str">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ell>
        </row>
        <row r="8">
          <cell r="G8">
            <v>11.38</v>
          </cell>
          <cell r="I8">
            <v>151.82</v>
          </cell>
        </row>
        <row r="9">
          <cell r="A9" t="str">
            <v>3.         5.1.10</v>
          </cell>
          <cell r="B9" t="str">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ell>
        </row>
        <row r="12">
          <cell r="G12">
            <v>4.25</v>
          </cell>
          <cell r="I12">
            <v>589.51</v>
          </cell>
        </row>
        <row r="13">
          <cell r="A13" t="str">
            <v>4.       5.6.8 (C.I.W.)</v>
          </cell>
          <cell r="B13" t="str">
            <v>Supplying and laying (properly as per design and drawing )rip-rap with good quality of boulders duly packed including the cost of materials,royalty all taxes etc.but excluding the cost of carriage, all complete as per specification and direction of E/I.</v>
          </cell>
        </row>
        <row r="16">
          <cell r="G16">
            <v>7.14</v>
          </cell>
          <cell r="I16">
            <v>1756.4</v>
          </cell>
        </row>
        <row r="17">
          <cell r="A17" t="str">
            <v>5.     5.3.1.1</v>
          </cell>
          <cell r="B17" t="str">
            <v xml:space="preserve">Providing and laying in position cement concrete of specified grade excluding the cost of centering and shuttering- All work upto plinth level : 1:1½:3 (1 cemet : 1½ coarse sand (zone-iii) : 3 graded stone aggregate 20mm nominal size )  </v>
          </cell>
        </row>
        <row r="20">
          <cell r="G20">
            <v>8.5</v>
          </cell>
          <cell r="I20">
            <v>4961.7299999999996</v>
          </cell>
        </row>
        <row r="21">
          <cell r="A21" t="str">
            <v>6               5.3.17.1</v>
          </cell>
          <cell r="B21" t="str">
            <v>Centering and shuttering including strutting, propping etc. and removal of from for Foundations, footings, bases of columns, etc. for mass concrete.</v>
          </cell>
        </row>
        <row r="24">
          <cell r="G24">
            <v>11.15</v>
          </cell>
          <cell r="I24">
            <v>194.5</v>
          </cell>
        </row>
        <row r="25">
          <cell r="A25">
            <v>7</v>
          </cell>
        </row>
        <row r="26">
          <cell r="A26" t="str">
            <v>(i)</v>
          </cell>
          <cell r="B26" t="str">
            <v>SAND-LEAD-49KM</v>
          </cell>
          <cell r="G26">
            <v>3.66</v>
          </cell>
          <cell r="I26">
            <v>848.82</v>
          </cell>
        </row>
        <row r="27">
          <cell r="A27" t="str">
            <v>(ii)</v>
          </cell>
          <cell r="B27" t="str">
            <v>LOCAL SAND-LEAD-14KM</v>
          </cell>
          <cell r="G27">
            <v>4.25</v>
          </cell>
          <cell r="I27">
            <v>328.02</v>
          </cell>
        </row>
        <row r="28">
          <cell r="A28" t="str">
            <v>(iii)</v>
          </cell>
          <cell r="B28" t="str">
            <v>STONE CHIPS-LEAD-22KM</v>
          </cell>
          <cell r="G28">
            <v>7.31</v>
          </cell>
          <cell r="I28">
            <v>447.06</v>
          </cell>
        </row>
        <row r="29">
          <cell r="A29" t="str">
            <v>(iv)</v>
          </cell>
          <cell r="B29" t="str">
            <v>BOULDER-LEAD-36KM</v>
          </cell>
          <cell r="G29">
            <v>7.14</v>
          </cell>
          <cell r="I29">
            <v>679.66</v>
          </cell>
        </row>
        <row r="30">
          <cell r="A30" t="str">
            <v>(v)</v>
          </cell>
          <cell r="B30" t="str">
            <v>EARTH-LEAD-01km</v>
          </cell>
          <cell r="G30">
            <v>11.38</v>
          </cell>
          <cell r="I30">
            <v>117.54</v>
          </cell>
        </row>
      </sheetData>
      <sheetData sheetId="1"/>
      <sheetData sheetId="2"/>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PCC ROAD AT GOWALA TOLI BEBY TABASSUM'S GALI UNDER WARD NO-23</v>
          </cell>
        </row>
        <row r="4">
          <cell r="A4">
            <v>1</v>
          </cell>
          <cell r="B4" t="str">
            <v>Labour for site clearence before and after the work etc.</v>
          </cell>
          <cell r="G4">
            <v>1</v>
          </cell>
          <cell r="H4" t="str">
            <v>No.</v>
          </cell>
          <cell r="I4">
            <v>326.85000000000002</v>
          </cell>
        </row>
        <row r="5">
          <cell r="A5" t="str">
            <v>2       5.1.1.</v>
          </cell>
          <cell r="B5" t="str">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ell>
        </row>
        <row r="8">
          <cell r="G8">
            <v>15.18</v>
          </cell>
          <cell r="I8">
            <v>151.82</v>
          </cell>
        </row>
        <row r="9">
          <cell r="A9" t="str">
            <v>3.         5.1.10</v>
          </cell>
          <cell r="B9" t="str">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ell>
        </row>
        <row r="12">
          <cell r="G12">
            <v>5.66</v>
          </cell>
          <cell r="I12">
            <v>589.51</v>
          </cell>
        </row>
        <row r="13">
          <cell r="A13" t="str">
            <v>4.       5.6.8 (C.I.W.)</v>
          </cell>
          <cell r="B13" t="str">
            <v>Supplying and laying (properly as per design and drawing )rip-rap with good quality of boulders duly packed including the cost of materials,royalty all taxes etc.but excluding the cost of carriage, all complete as per specification and direction of E/I.</v>
          </cell>
        </row>
        <row r="16">
          <cell r="G16">
            <v>9.52</v>
          </cell>
          <cell r="I16">
            <v>1756.4</v>
          </cell>
        </row>
        <row r="17">
          <cell r="A17" t="str">
            <v>5.     5.3.1.1</v>
          </cell>
          <cell r="B17" t="str">
            <v xml:space="preserve">Providing and laying in position cement concrete of specified grade excluding the cost of centering and shuttering- All work upto plinth level : 1:1½:3 (1 cemet : 1½ coarse sand (zone-iii) : 3 graded stone aggregate 20mm nominal size )  </v>
          </cell>
        </row>
        <row r="20">
          <cell r="G20">
            <v>11.33</v>
          </cell>
          <cell r="I20">
            <v>4961.7299999999996</v>
          </cell>
        </row>
        <row r="21">
          <cell r="A21" t="str">
            <v>6               5.3.17.1</v>
          </cell>
          <cell r="B21" t="str">
            <v>Centering and shuttering including strutting, propping etc. and removal of from for Foundations, footings, bases of columns, etc. for mass concrete.</v>
          </cell>
        </row>
        <row r="24">
          <cell r="G24">
            <v>9.2899999999999991</v>
          </cell>
          <cell r="I24">
            <v>194.5</v>
          </cell>
        </row>
        <row r="25">
          <cell r="A25">
            <v>7</v>
          </cell>
        </row>
        <row r="26">
          <cell r="A26" t="str">
            <v>(i)</v>
          </cell>
          <cell r="B26" t="str">
            <v>SAND-LEAD-49KM</v>
          </cell>
          <cell r="G26">
            <v>4.87</v>
          </cell>
          <cell r="I26">
            <v>848.82</v>
          </cell>
        </row>
        <row r="27">
          <cell r="A27" t="str">
            <v>(ii)</v>
          </cell>
          <cell r="B27" t="str">
            <v>LOCAL SAND-LEAD-14KM</v>
          </cell>
          <cell r="G27">
            <v>5.66</v>
          </cell>
          <cell r="I27">
            <v>328.02</v>
          </cell>
        </row>
        <row r="28">
          <cell r="A28" t="str">
            <v>(iii)</v>
          </cell>
          <cell r="B28" t="str">
            <v>STONE CHIPS-LEAD-22KM</v>
          </cell>
          <cell r="G28">
            <v>9.74</v>
          </cell>
          <cell r="I28">
            <v>447.06</v>
          </cell>
        </row>
        <row r="29">
          <cell r="A29" t="str">
            <v>(iv)</v>
          </cell>
          <cell r="B29" t="str">
            <v>BOULDER-LEAD-36KM</v>
          </cell>
          <cell r="G29">
            <v>9.52</v>
          </cell>
          <cell r="I29">
            <v>679.66</v>
          </cell>
        </row>
        <row r="30">
          <cell r="A30" t="str">
            <v>(v)</v>
          </cell>
          <cell r="B30" t="str">
            <v>EARTH-LEAD-01km</v>
          </cell>
          <cell r="G30">
            <v>15.18</v>
          </cell>
          <cell r="I30">
            <v>117.54</v>
          </cell>
        </row>
      </sheetData>
      <sheetData sheetId="1"/>
      <sheetData sheetId="2"/>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ESTIMATE"/>
      <sheetName val="MATERIAL "/>
      <sheetName val="BOQ"/>
    </sheetNames>
    <sheetDataSet>
      <sheetData sheetId="0">
        <row r="2">
          <cell r="A2" t="str">
            <v xml:space="preserve">Name of Work :-IMPROVEMENT OF PCC ROAD AT TASLIM MASZID ROAD FROM TABREJ MEDICAL TO MAQBUL ENCLAVE  UNDER WARD NO. 23 </v>
          </cell>
        </row>
        <row r="4">
          <cell r="G4">
            <v>3</v>
          </cell>
          <cell r="I4">
            <v>326.85000000000002</v>
          </cell>
        </row>
        <row r="5">
          <cell r="A5" t="str">
            <v>2.     5.3.1.1</v>
          </cell>
        </row>
        <row r="8">
          <cell r="G8">
            <v>71.44</v>
          </cell>
          <cell r="I8">
            <v>4961.7299999999996</v>
          </cell>
        </row>
        <row r="9">
          <cell r="A9" t="str">
            <v>3                 5.3.17.1</v>
          </cell>
        </row>
        <row r="12">
          <cell r="G12">
            <v>28.81</v>
          </cell>
          <cell r="I12">
            <v>194.5</v>
          </cell>
        </row>
        <row r="13">
          <cell r="A13">
            <v>4</v>
          </cell>
        </row>
        <row r="14">
          <cell r="I14">
            <v>848.82</v>
          </cell>
        </row>
        <row r="15">
          <cell r="I15">
            <v>447.06</v>
          </cell>
        </row>
      </sheetData>
      <sheetData sheetId="1">
        <row r="4">
          <cell r="F4">
            <v>30.72</v>
          </cell>
          <cell r="G4">
            <v>61.44</v>
          </cell>
        </row>
      </sheetData>
      <sheetData sheetId="2"/>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PCC ROAD AT SOUTH EAST STREET ROAD, FROM SABBIR AHAMAD SHOP TO NAUSHAD HOUSE UNDER WARD NO-23</v>
          </cell>
        </row>
        <row r="4">
          <cell r="A4">
            <v>1</v>
          </cell>
          <cell r="B4" t="str">
            <v>Labour for site clearence before and after the work etc.</v>
          </cell>
          <cell r="G4">
            <v>1</v>
          </cell>
          <cell r="H4" t="str">
            <v>No.</v>
          </cell>
          <cell r="I4">
            <v>326.85000000000002</v>
          </cell>
        </row>
        <row r="5">
          <cell r="A5" t="str">
            <v>2       5.1.1.</v>
          </cell>
          <cell r="B5" t="str">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ell>
        </row>
        <row r="8">
          <cell r="G8">
            <v>22.77</v>
          </cell>
          <cell r="I8">
            <v>151.82</v>
          </cell>
        </row>
        <row r="9">
          <cell r="A9" t="str">
            <v>3.         5.1.10</v>
          </cell>
          <cell r="B9" t="str">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ell>
        </row>
        <row r="12">
          <cell r="G12">
            <v>8.5</v>
          </cell>
          <cell r="I12">
            <v>589.51</v>
          </cell>
        </row>
        <row r="13">
          <cell r="A13" t="str">
            <v>4.       5.6.8 (C.I.W.)</v>
          </cell>
          <cell r="B13" t="str">
            <v>Supplying and laying (properly as per design and drawing )rip-rap with good quality of boulders duly packed including the cost of materials,royalty all taxes etc.but excluding the cost of carriage, all complete as per specification and direction of E/I.</v>
          </cell>
        </row>
        <row r="16">
          <cell r="G16">
            <v>14.27</v>
          </cell>
          <cell r="I16">
            <v>1756.4</v>
          </cell>
        </row>
        <row r="17">
          <cell r="A17" t="str">
            <v>5.     5.3.1.1</v>
          </cell>
          <cell r="B17" t="str">
            <v xml:space="preserve">Providing and laying in position cement concrete of specified grade excluding the cost of centering and shuttering- All work upto plinth level : 1:1½:3 (1 cemet : 1½ coarse sand (zone-iii) : 3 graded stone aggregate 20mm nominal size )  </v>
          </cell>
        </row>
        <row r="20">
          <cell r="G20">
            <v>16.989999999999998</v>
          </cell>
          <cell r="I20">
            <v>4961.7299999999996</v>
          </cell>
        </row>
        <row r="21">
          <cell r="A21" t="str">
            <v>6               5.3.17.1</v>
          </cell>
          <cell r="B21" t="str">
            <v>Centering and shuttering including strutting, propping etc. and removal of from for Foundations, footings, bases of columns, etc. for mass concrete.</v>
          </cell>
        </row>
        <row r="24">
          <cell r="G24">
            <v>18.59</v>
          </cell>
          <cell r="I24">
            <v>194.5</v>
          </cell>
        </row>
        <row r="25">
          <cell r="A25">
            <v>7</v>
          </cell>
        </row>
        <row r="26">
          <cell r="A26" t="str">
            <v>(i)</v>
          </cell>
          <cell r="B26" t="str">
            <v>SAND-LEAD-49KM</v>
          </cell>
          <cell r="G26">
            <v>7.31</v>
          </cell>
          <cell r="I26">
            <v>848.82</v>
          </cell>
        </row>
        <row r="27">
          <cell r="A27" t="str">
            <v>(ii)</v>
          </cell>
          <cell r="B27" t="str">
            <v>LOCAL SAND-LEAD-14KM</v>
          </cell>
          <cell r="G27">
            <v>8.5</v>
          </cell>
          <cell r="I27">
            <v>328.02</v>
          </cell>
        </row>
        <row r="28">
          <cell r="A28" t="str">
            <v>(iii)</v>
          </cell>
          <cell r="B28" t="str">
            <v>STONE CHIPS-LEAD-22KM</v>
          </cell>
          <cell r="G28">
            <v>14.61</v>
          </cell>
          <cell r="I28">
            <v>447.06</v>
          </cell>
        </row>
        <row r="29">
          <cell r="A29" t="str">
            <v>(iv)</v>
          </cell>
          <cell r="B29" t="str">
            <v>BOULDER-LEAD-36KM</v>
          </cell>
          <cell r="G29">
            <v>14.27</v>
          </cell>
          <cell r="I29">
            <v>679.66</v>
          </cell>
        </row>
        <row r="30">
          <cell r="A30" t="str">
            <v>(v)</v>
          </cell>
          <cell r="B30" t="str">
            <v>EARTH-LEAD-01km</v>
          </cell>
          <cell r="G30">
            <v>22.77</v>
          </cell>
          <cell r="I30">
            <v>117.54</v>
          </cell>
        </row>
      </sheetData>
      <sheetData sheetId="1"/>
      <sheetData sheetId="2"/>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:-LAYING OF PAVER BLOK AT JAMIA HUSSAINIA AND IMLI TOLA, EMAM BARA UNDER WARD NO.24</v>
          </cell>
        </row>
        <row r="4">
          <cell r="A4">
            <v>1</v>
          </cell>
          <cell r="B4" t="str">
            <v>Labour for clearning the work site before and after work etc.</v>
          </cell>
          <cell r="G4">
            <v>5</v>
          </cell>
          <cell r="I4">
            <v>326.85000000000002</v>
          </cell>
        </row>
        <row r="5">
          <cell r="A5" t="str">
            <v>2       5.1.1.</v>
          </cell>
          <cell r="B5" t="str">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ell>
        </row>
        <row r="11">
          <cell r="G11">
            <v>85.57</v>
          </cell>
          <cell r="I11">
            <v>151.82</v>
          </cell>
        </row>
        <row r="12">
          <cell r="A12" t="str">
            <v>3.       16.91.2   DSR</v>
          </cell>
        </row>
        <row r="18">
          <cell r="G18">
            <v>421.19</v>
          </cell>
        </row>
        <row r="19">
          <cell r="A19" t="str">
            <v>4           5.3.1.1</v>
          </cell>
          <cell r="B19" t="str">
            <v xml:space="preserve">Providing and laying in position concrete of specified grade excluding the cost of centering and shuttering- All work upto plinth level :  1:1½:3 (1 cemet : 1½ coarse sand (zone-iii) : 3 graded stone aggregate 20mm nominal size )  </v>
          </cell>
        </row>
        <row r="25">
          <cell r="G25">
            <v>0.9</v>
          </cell>
        </row>
        <row r="27">
          <cell r="G27">
            <v>0.39</v>
          </cell>
        </row>
        <row r="28">
          <cell r="G28">
            <v>0.77</v>
          </cell>
        </row>
        <row r="29">
          <cell r="G29">
            <v>85.57</v>
          </cell>
        </row>
      </sheetData>
      <sheetData sheetId="1"/>
      <sheetData sheetId="2"/>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efreshError="1">
        <row r="13">
          <cell r="B13" t="str">
            <v>Providing and laying factory made chamfered edge 80mm thick cement concrete paver block  of M-30 grade with approved colour design and pattern using in footpath ,parks ,lawns,drive ways or lighttraffic parking etc,of required strength thickness and size shape made by table vibratory method using PU mould ,laid in required coloure and pattern over 50mm thick compacted bed of sand ,compacting and proper embedding laying of interlocking  paver blocks into the sand bedding layer through vibratory compaction by using plate vibrator,filling the joints with sand cutting of paver blocks as per required size and pattern ,finishing and sweeing extra sand complete all as per direction of  E/I</v>
          </cell>
        </row>
        <row r="16">
          <cell r="I16">
            <v>877.72</v>
          </cell>
        </row>
        <row r="20">
          <cell r="I20">
            <v>4961.7299999999996</v>
          </cell>
        </row>
      </sheetData>
      <sheetData sheetId="1" refreshError="1"/>
      <sheetData sheetId="2"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Estimate"/>
      <sheetName val="BOQ"/>
      <sheetName val="Material"/>
      <sheetName val="FROM"/>
    </sheetNames>
    <sheetDataSet>
      <sheetData sheetId="0">
        <row r="2">
          <cell r="A2" t="str">
            <v>Name of Work :-INSTALLATION OF RALLING ON BRIDGE AT RIVER SIDE, BESIDE LALALAJ PATRAI SCHOOL UNDER WARD NO-24</v>
          </cell>
        </row>
        <row r="4">
          <cell r="A4">
            <v>1</v>
          </cell>
          <cell r="B4" t="str">
            <v>Labour for site clearence before and after the work etc.</v>
          </cell>
          <cell r="G4">
            <v>6</v>
          </cell>
          <cell r="I4">
            <v>326.85000000000002</v>
          </cell>
        </row>
        <row r="5">
          <cell r="A5">
            <v>2</v>
          </cell>
          <cell r="B5" t="str">
            <v>Railing Welding :- Welder Grade-(i) 1 Nos@ 6days</v>
          </cell>
          <cell r="G5">
            <v>3</v>
          </cell>
          <cell r="I5">
            <v>521.41999999999996</v>
          </cell>
        </row>
        <row r="6">
          <cell r="A6" t="str">
            <v>3         5.1.1.</v>
          </cell>
          <cell r="B6" t="str">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ell>
        </row>
        <row r="9">
          <cell r="G9">
            <v>0.6</v>
          </cell>
          <cell r="I9">
            <v>151.82</v>
          </cell>
        </row>
        <row r="10">
          <cell r="A10" t="str">
            <v>4.         5.1.10</v>
          </cell>
          <cell r="B10" t="str">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ell>
        </row>
        <row r="13">
          <cell r="G13">
            <v>0.06</v>
          </cell>
          <cell r="I13">
            <v>589.53</v>
          </cell>
        </row>
        <row r="14">
          <cell r="A14" t="str">
            <v>5.         5.6.8</v>
          </cell>
          <cell r="B14" t="str">
            <v>Supplying and laying (properly as per design and drawing ) rip-rap with good quality of boulders duly packed including the cost of materials,royalty all taxes etc.but excluding the cost of carriage, all complete as per specification and direction of E/I.</v>
          </cell>
        </row>
        <row r="17">
          <cell r="G17">
            <v>0.1</v>
          </cell>
          <cell r="I17">
            <v>1756.4</v>
          </cell>
        </row>
        <row r="18">
          <cell r="A18" t="str">
            <v>6.        5.3.1.1</v>
          </cell>
          <cell r="B18" t="str">
            <v xml:space="preserve">Providing and laying in position concrete of specified grade excluding the cost of centering and shuttering- All work upto plinth level : 1:1½:3 (1 cemet : 1½ coarse sand (zone-iii) : 3 graded stone aggregate 20mm nominal size )  </v>
          </cell>
        </row>
        <row r="22">
          <cell r="G22">
            <v>0.37</v>
          </cell>
          <cell r="I22">
            <v>4961.7299999999996</v>
          </cell>
        </row>
        <row r="24">
          <cell r="A24" t="str">
            <v>7                 5.5.30</v>
          </cell>
          <cell r="B24" t="str">
            <v>Supplying fitting and fixing M.S grill gate with M.S grills made of 20x6mm M.S flats or 16mm M.S square bars fitted on 25x25x6mm M.S Angle frame –do—(when steel is not supplied by the deptt.)</v>
          </cell>
        </row>
        <row r="33">
          <cell r="G33">
            <v>388.69550000000004</v>
          </cell>
          <cell r="H33" t="str">
            <v>kg</v>
          </cell>
          <cell r="I33">
            <v>118.98</v>
          </cell>
        </row>
        <row r="34">
          <cell r="A34" t="str">
            <v>8         5.8.41</v>
          </cell>
          <cell r="B34" t="str">
            <v>Providing primer one coat of red lead paint of approved make over new steel surface including preparing the surface after cleaning removing dust,dirt,scales ,smokes and grease and cleaning the surface thoroughly including cost of scaffholding and taxes all complete as per building specification and direction of E/I</v>
          </cell>
        </row>
        <row r="39">
          <cell r="G39">
            <v>27.1</v>
          </cell>
          <cell r="H39" t="str">
            <v>M²</v>
          </cell>
          <cell r="I39">
            <v>57.77</v>
          </cell>
        </row>
        <row r="40">
          <cell r="A40" t="str">
            <v>9         5.8.42</v>
          </cell>
          <cell r="B40" t="str">
            <v>Providing one coat of painting with ready mixed paint of approved shade and make over steel surface  including cleaning the surface thoroughly,scaffolding and taxes all complete as per building specification and direction of E/I</v>
          </cell>
        </row>
        <row r="41">
          <cell r="G41">
            <v>27.1</v>
          </cell>
          <cell r="H41" t="str">
            <v>M²</v>
          </cell>
          <cell r="I41">
            <v>43.3</v>
          </cell>
        </row>
        <row r="42">
          <cell r="A42" t="str">
            <v>10.           14.4          (R.C.D)</v>
          </cell>
          <cell r="B42" t="str">
            <v>Providing and laying Cement concrete wearing coat M-30 grade including reinforcement complete as per drawing and Technical Specifications</v>
          </cell>
        </row>
        <row r="45">
          <cell r="G45">
            <v>2.8</v>
          </cell>
          <cell r="H45" t="str">
            <v>M³</v>
          </cell>
          <cell r="I45">
            <v>10876.5</v>
          </cell>
        </row>
        <row r="48">
          <cell r="A48">
            <v>11</v>
          </cell>
          <cell r="B48" t="str">
            <v>CARRIAGE OF MATERIALS</v>
          </cell>
        </row>
        <row r="49">
          <cell r="A49" t="str">
            <v>(i)</v>
          </cell>
          <cell r="B49" t="str">
            <v>SAND-LEAD-49KM</v>
          </cell>
          <cell r="G49">
            <v>1.28</v>
          </cell>
          <cell r="I49">
            <v>848.82</v>
          </cell>
        </row>
        <row r="50">
          <cell r="A50" t="str">
            <v>(ii)</v>
          </cell>
          <cell r="B50" t="str">
            <v>LOCAL SAND-LEAD-14KM</v>
          </cell>
          <cell r="G50">
            <v>0.06</v>
          </cell>
          <cell r="I50">
            <v>328.02</v>
          </cell>
        </row>
        <row r="51">
          <cell r="A51" t="str">
            <v>(iii)</v>
          </cell>
          <cell r="B51" t="str">
            <v>STONE CHIPS-LEAD-22KM</v>
          </cell>
          <cell r="G51">
            <v>2.56</v>
          </cell>
          <cell r="I51">
            <v>447.06</v>
          </cell>
        </row>
        <row r="52">
          <cell r="A52" t="str">
            <v>(iv)</v>
          </cell>
          <cell r="B52" t="str">
            <v>BOULDER-LEAD-36KM</v>
          </cell>
          <cell r="G52">
            <v>0.1</v>
          </cell>
          <cell r="I52">
            <v>679.66</v>
          </cell>
        </row>
        <row r="53">
          <cell r="A53" t="str">
            <v>(v)</v>
          </cell>
          <cell r="B53" t="str">
            <v>EARTH-LEAD-01KM</v>
          </cell>
          <cell r="G53">
            <v>0.6</v>
          </cell>
          <cell r="I53">
            <v>117.54</v>
          </cell>
        </row>
      </sheetData>
      <sheetData sheetId="1"/>
      <sheetData sheetId="2"/>
      <sheetData sheetId="3"/>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RCC DRAIN KADRU, SARNA TOLI, MUNNAZIR HOUSE TO VICKY HOUSE UNDER WARD NO-24</v>
          </cell>
        </row>
        <row r="4">
          <cell r="A4">
            <v>1</v>
          </cell>
          <cell r="B4" t="str">
            <v>Labour for site clearence before and after the work etc.</v>
          </cell>
          <cell r="G4">
            <v>3</v>
          </cell>
          <cell r="I4">
            <v>326.85000000000002</v>
          </cell>
        </row>
        <row r="5">
          <cell r="A5" t="str">
            <v xml:space="preserve">    2         5.10.2</v>
          </cell>
          <cell r="B5" t="str">
            <v>Dismantling plain cement or lime concrete work including ………do…….complete as per specification and  direction of E/I.</v>
          </cell>
        </row>
        <row r="7">
          <cell r="G7">
            <v>3.4</v>
          </cell>
          <cell r="I7">
            <v>955.89</v>
          </cell>
        </row>
        <row r="8">
          <cell r="A8" t="str">
            <v>3       5.1.1.</v>
          </cell>
        </row>
        <row r="12">
          <cell r="G12">
            <v>20.04</v>
          </cell>
          <cell r="I12">
            <v>151.82</v>
          </cell>
        </row>
        <row r="13">
          <cell r="A13" t="str">
            <v>4.           M-004</v>
          </cell>
        </row>
        <row r="16">
          <cell r="G16">
            <v>2.19</v>
          </cell>
          <cell r="I16">
            <v>481.67</v>
          </cell>
        </row>
        <row r="17">
          <cell r="A17" t="str">
            <v>5.       5.6.8 (C.I.W.)</v>
          </cell>
        </row>
        <row r="20">
          <cell r="G20">
            <v>3.69</v>
          </cell>
          <cell r="I20">
            <v>1756.4</v>
          </cell>
        </row>
        <row r="21">
          <cell r="A21" t="str">
            <v>6.                                    5.3.10</v>
          </cell>
          <cell r="B21" t="str">
            <v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v>
          </cell>
        </row>
        <row r="25">
          <cell r="G25">
            <v>10.97</v>
          </cell>
          <cell r="I25">
            <v>6082.45</v>
          </cell>
        </row>
        <row r="26">
          <cell r="A26" t="str">
            <v>7                  5.3.11</v>
          </cell>
          <cell r="B26" t="str">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ell>
        </row>
        <row r="29">
          <cell r="G29">
            <v>4.3899999999999997</v>
          </cell>
          <cell r="I29">
            <v>6308.87</v>
          </cell>
        </row>
        <row r="30">
          <cell r="A30">
            <v>8</v>
          </cell>
          <cell r="B30" t="str">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ell>
        </row>
        <row r="34">
          <cell r="G34">
            <v>0.56999999999999995</v>
          </cell>
          <cell r="H34" t="str">
            <v>MT</v>
          </cell>
          <cell r="I34">
            <v>83314.02</v>
          </cell>
        </row>
        <row r="38">
          <cell r="G38">
            <v>0.69</v>
          </cell>
          <cell r="H38" t="str">
            <v>MT</v>
          </cell>
          <cell r="I38">
            <v>82096.539999999994</v>
          </cell>
        </row>
        <row r="39">
          <cell r="A39" t="str">
            <v>9                 5.3.17.1</v>
          </cell>
          <cell r="B39" t="str">
            <v>Centering and shuttering including strutting, propping etc. and removal of from for Foundations,footings, bases of columns, etc. for mass concrete.</v>
          </cell>
        </row>
        <row r="43">
          <cell r="G43">
            <v>100.84</v>
          </cell>
          <cell r="I43">
            <v>194.5</v>
          </cell>
        </row>
        <row r="44">
          <cell r="A44">
            <v>10</v>
          </cell>
        </row>
        <row r="45">
          <cell r="I45">
            <v>848.82</v>
          </cell>
        </row>
        <row r="46">
          <cell r="I46">
            <v>447.06</v>
          </cell>
        </row>
        <row r="47">
          <cell r="I47">
            <v>447.06</v>
          </cell>
        </row>
        <row r="48">
          <cell r="I48">
            <v>679.66</v>
          </cell>
        </row>
        <row r="49">
          <cell r="I49">
            <v>117.54</v>
          </cell>
        </row>
      </sheetData>
      <sheetData sheetId="1"/>
      <sheetData sheetId="2">
        <row r="7">
          <cell r="F7">
            <v>6.6</v>
          </cell>
          <cell r="G7">
            <v>2.19</v>
          </cell>
          <cell r="H7">
            <v>13.21</v>
          </cell>
          <cell r="I7">
            <v>3.69</v>
          </cell>
          <cell r="J7">
            <v>20.04</v>
          </cell>
        </row>
      </sheetData>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7">
          <cell r="G7">
            <v>2.3600490890210515</v>
          </cell>
        </row>
        <row r="11">
          <cell r="G11">
            <v>134.52276975361087</v>
          </cell>
        </row>
        <row r="15">
          <cell r="G15">
            <v>10.629999999999999</v>
          </cell>
        </row>
        <row r="19">
          <cell r="G19">
            <v>17.71</v>
          </cell>
        </row>
        <row r="24">
          <cell r="G24">
            <v>14.17</v>
          </cell>
        </row>
        <row r="28">
          <cell r="G28">
            <v>31.860662701784197</v>
          </cell>
        </row>
        <row r="32">
          <cell r="G32">
            <v>271.06567534076817</v>
          </cell>
        </row>
        <row r="40">
          <cell r="G40">
            <v>1.25</v>
          </cell>
        </row>
        <row r="45">
          <cell r="G45">
            <v>100.69000000000001</v>
          </cell>
        </row>
      </sheetData>
      <sheetData sheetId="1">
        <row r="11">
          <cell r="E11">
            <v>10.629999999999999</v>
          </cell>
          <cell r="F11">
            <v>33.31</v>
          </cell>
          <cell r="G11">
            <v>24.939999999999998</v>
          </cell>
          <cell r="I11">
            <v>134.52276975361087</v>
          </cell>
        </row>
      </sheetData>
      <sheetData sheetId="2"/>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:-LAYING OF PAVER BLOK AT JAI PRAKASH NAGAR, SARNA ASTHAL, MAHILA VIKAS SAMITEE UNDER WARD NO.29</v>
          </cell>
        </row>
        <row r="4">
          <cell r="A4">
            <v>1</v>
          </cell>
          <cell r="B4" t="str">
            <v>Labour for clearning the work site before and after work etc.</v>
          </cell>
          <cell r="G4">
            <v>8</v>
          </cell>
          <cell r="I4">
            <v>326.85000000000002</v>
          </cell>
        </row>
        <row r="5">
          <cell r="A5" t="str">
            <v>2       5.1.1.+ 5.1.2</v>
          </cell>
          <cell r="B5" t="str">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v>
          </cell>
        </row>
        <row r="11">
          <cell r="G11">
            <v>98.74</v>
          </cell>
          <cell r="I11">
            <v>139.58000000000001</v>
          </cell>
        </row>
        <row r="12">
          <cell r="A12" t="str">
            <v>3.       16.91.2   DSR</v>
          </cell>
        </row>
        <row r="18">
          <cell r="G18">
            <v>486.06</v>
          </cell>
        </row>
        <row r="19">
          <cell r="A19" t="str">
            <v>4           5.3.1.1</v>
          </cell>
          <cell r="B19" t="str">
            <v xml:space="preserve">Providing and laying in position concrete of specified grade excluding the cost of centering and shuttering- All work upto plinth level :  1:1½:3 (1 cemet : 1½ coarse sand (zone-iii) : 3 graded stone aggregate 20mm nominal size )  </v>
          </cell>
        </row>
        <row r="25">
          <cell r="G25">
            <v>1.95</v>
          </cell>
        </row>
        <row r="27">
          <cell r="G27">
            <v>0.84</v>
          </cell>
        </row>
        <row r="28">
          <cell r="G28">
            <v>1.68</v>
          </cell>
        </row>
        <row r="29">
          <cell r="G29">
            <v>98.74</v>
          </cell>
        </row>
      </sheetData>
      <sheetData sheetId="1"/>
      <sheetData sheetId="2"/>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efreshError="1">
        <row r="13">
          <cell r="B13" t="str">
            <v>Providing and laying factory made chamfered edge 80mm thick cement concrete paver block  of M-30 grade with approved colour design and pattern using in footpath ,parks ,lawns,drive ways or lighttraffic parking etc,of required strength thickness and size shape made by table vibratory method using PU mould ,laid in required coloure and pattern over 50mm thick compacted bed of sand ,compacting and proper embedding laying of interlocking  paver blocks into the sand bedding layer through vibratory compaction by using plate vibrator,filling the joints with sand cutting of paver blocks as per required size and pattern ,finishing and sweeing extra sand complete all as per direction of  E/I</v>
          </cell>
        </row>
        <row r="16">
          <cell r="I16">
            <v>877.72</v>
          </cell>
        </row>
        <row r="20">
          <cell r="I20">
            <v>4961.7299999999996</v>
          </cell>
        </row>
      </sheetData>
      <sheetData sheetId="1" refreshError="1"/>
      <sheetData sheetId="2"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:-LAYING OF PAVER BLOK ROAD AND CONSTRUCTION  OF RCC DRAIN AT KURBAN GALI LANE, FROM LAKHAN VISHWAKARMA HOUSE TO MANIK VISHWAKARMA HOUSE UNDER WARD NO-29</v>
          </cell>
        </row>
        <row r="4">
          <cell r="A4">
            <v>1</v>
          </cell>
          <cell r="B4" t="str">
            <v>Labour for site clearence before and after the work etc.</v>
          </cell>
          <cell r="G4">
            <v>7</v>
          </cell>
          <cell r="I4">
            <v>326.85000000000002</v>
          </cell>
        </row>
        <row r="5">
          <cell r="A5" t="str">
            <v xml:space="preserve">    2         5.10.2</v>
          </cell>
          <cell r="B5" t="str">
            <v>Dismantling plain cement or lime concrete work including ………do…….complete as per specification and  direction of E/I.</v>
          </cell>
        </row>
        <row r="7">
          <cell r="G7">
            <v>3.55</v>
          </cell>
          <cell r="I7">
            <v>955.89</v>
          </cell>
        </row>
        <row r="8">
          <cell r="A8" t="str">
            <v>3       5.1.1.</v>
          </cell>
        </row>
        <row r="12">
          <cell r="G12">
            <v>31.9</v>
          </cell>
          <cell r="I12">
            <v>151.82</v>
          </cell>
        </row>
        <row r="13">
          <cell r="A13" t="str">
            <v>4.       16.91.2   DSR</v>
          </cell>
          <cell r="B13" t="str">
            <v>Providing and laying factory made chamfered edge 80mm thick cement concrete paver block  of M-30 grade with approved colour design and pattern using in footpath ,parks ,lawns,drive ways or lighttraffic parking etc,of required strength thickness and size shape made by table vibratory method using PU mould ,laid in required coloure and pattern over 50mm thick compacted bed of sand ,compacting and proper embedding laying of interlocking  paver blocks into the sand bedding layer through vibratory compaction by using plate vibrator,filling the joints with sand cutting of paver blocks as per required size and pattern ,finishing and sweeing extra sand complete all as per direction of  E/I</v>
          </cell>
        </row>
        <row r="16">
          <cell r="G16">
            <v>31.86</v>
          </cell>
          <cell r="I16">
            <v>877.72</v>
          </cell>
        </row>
        <row r="17">
          <cell r="A17" t="str">
            <v>5.     5.3.1.1</v>
          </cell>
          <cell r="B17" t="str">
            <v xml:space="preserve">Providing and laying in position cement concrete of specified grade excluding the cost of centering and shuttering- All work upto plinth level : 1:1½:3 (1 cemet : 1½ coarse sand (zone-iii) : 3 graded stone aggregate 20mm nominal size )  </v>
          </cell>
        </row>
        <row r="20">
          <cell r="G20">
            <v>1.39</v>
          </cell>
          <cell r="I20">
            <v>4961.7299999999996</v>
          </cell>
        </row>
        <row r="21">
          <cell r="A21" t="str">
            <v>6.           M-004</v>
          </cell>
          <cell r="B21" t="str">
            <v xml:space="preserve">Providing stone cruster dust finer than 3mm with not more than 10% passing 0.075 sieve at Quarry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v>
          </cell>
        </row>
        <row r="24">
          <cell r="G24">
            <v>2.66</v>
          </cell>
          <cell r="I24">
            <v>481.67</v>
          </cell>
        </row>
        <row r="25">
          <cell r="A25" t="str">
            <v>7.       5.6.8 (C.I.W.)</v>
          </cell>
        </row>
        <row r="28">
          <cell r="G28">
            <v>4.47</v>
          </cell>
          <cell r="I28">
            <v>1756.4</v>
          </cell>
        </row>
        <row r="29">
          <cell r="A29" t="str">
            <v>8.                                    5.3.10</v>
          </cell>
          <cell r="B29" t="str">
            <v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v>
          </cell>
        </row>
        <row r="33">
          <cell r="G33">
            <v>7.72</v>
          </cell>
          <cell r="I33">
            <v>6082.45</v>
          </cell>
        </row>
        <row r="34">
          <cell r="A34" t="str">
            <v>9                  5.3.11</v>
          </cell>
          <cell r="B34" t="str">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ell>
        </row>
        <row r="37">
          <cell r="G37">
            <v>5.32</v>
          </cell>
          <cell r="I37">
            <v>6308.87</v>
          </cell>
        </row>
        <row r="38">
          <cell r="A38">
            <v>10</v>
          </cell>
          <cell r="B38" t="str">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ell>
        </row>
        <row r="42">
          <cell r="G42">
            <v>0.49</v>
          </cell>
          <cell r="H42" t="str">
            <v>MT</v>
          </cell>
          <cell r="I42">
            <v>83314.02</v>
          </cell>
        </row>
        <row r="46">
          <cell r="G46">
            <v>0.6</v>
          </cell>
          <cell r="H46" t="str">
            <v>MT</v>
          </cell>
          <cell r="I46">
            <v>82096.539999999994</v>
          </cell>
        </row>
        <row r="47">
          <cell r="A47" t="str">
            <v>11                 5.3.17.1</v>
          </cell>
          <cell r="B47" t="str">
            <v>Centering and shuttering including strutting, propping etc. and removal of from for Foundations,footings, bases of columns, etc. for mass concrete.</v>
          </cell>
        </row>
        <row r="52">
          <cell r="G52">
            <v>104.55</v>
          </cell>
          <cell r="I52">
            <v>194.5</v>
          </cell>
        </row>
        <row r="53">
          <cell r="A53">
            <v>12</v>
          </cell>
        </row>
        <row r="54">
          <cell r="I54">
            <v>819.06</v>
          </cell>
        </row>
        <row r="55">
          <cell r="I55">
            <v>417.3</v>
          </cell>
        </row>
        <row r="56">
          <cell r="I56">
            <v>417.3</v>
          </cell>
        </row>
        <row r="57">
          <cell r="I57">
            <v>648.59</v>
          </cell>
        </row>
        <row r="58">
          <cell r="I58">
            <v>117.54</v>
          </cell>
        </row>
      </sheetData>
      <sheetData sheetId="1"/>
      <sheetData sheetId="2">
        <row r="7">
          <cell r="F7">
            <v>5.61</v>
          </cell>
          <cell r="G7">
            <v>2.66</v>
          </cell>
          <cell r="H7">
            <v>11.21</v>
          </cell>
          <cell r="I7">
            <v>4.47</v>
          </cell>
          <cell r="J7">
            <v>31.9</v>
          </cell>
        </row>
      </sheetData>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RCC DRAIN AT SHAHBAG FROM MAHAMUD SHAH HOUSE TO BABU HOUSE AND AHAMAD HOUSE TO EKRAM SHAH SHOP UNDER WARD NO-29</v>
          </cell>
        </row>
        <row r="4">
          <cell r="A4">
            <v>1</v>
          </cell>
          <cell r="B4" t="str">
            <v>Labour for site clearence before and after the work etc.</v>
          </cell>
          <cell r="G4">
            <v>3</v>
          </cell>
          <cell r="H4" t="str">
            <v>Nos.</v>
          </cell>
          <cell r="I4">
            <v>326.85000000000002</v>
          </cell>
        </row>
        <row r="5">
          <cell r="A5" t="str">
            <v>2       5.10.1</v>
          </cell>
          <cell r="B5" t="str">
            <v>Dismantling pucca brick or lime work including stacking serviceable materials in countable stacks within 15M.lead and disposal of unserviceable materials with all leads complete  as per direction of E/I</v>
          </cell>
        </row>
        <row r="8">
          <cell r="G8">
            <v>6.37</v>
          </cell>
          <cell r="I8">
            <v>541.66999999999996</v>
          </cell>
        </row>
        <row r="9">
          <cell r="A9" t="str">
            <v>3       5.10.2</v>
          </cell>
          <cell r="B9" t="str">
            <v>Dismantling  plain cement concrete or lime concrete work including stacking serviceable material in countable stacks withnn 15M.lead and disposal of unserviceable material with all lead completed as per direction of E/I.</v>
          </cell>
        </row>
        <row r="12">
          <cell r="G12">
            <v>1.06</v>
          </cell>
          <cell r="I12">
            <v>955.89</v>
          </cell>
        </row>
        <row r="13">
          <cell r="A13" t="str">
            <v>4       5.1.1.</v>
          </cell>
        </row>
        <row r="17">
          <cell r="G17">
            <v>30.37</v>
          </cell>
          <cell r="I17">
            <v>151.82</v>
          </cell>
        </row>
        <row r="18">
          <cell r="A18" t="str">
            <v>5.         5.1.10</v>
          </cell>
        </row>
        <row r="21">
          <cell r="G21">
            <v>3.54</v>
          </cell>
          <cell r="I21">
            <v>589.51</v>
          </cell>
        </row>
        <row r="22">
          <cell r="A22" t="str">
            <v>6.       5.6.8 (C.I.W.)</v>
          </cell>
        </row>
        <row r="25">
          <cell r="G25">
            <v>5.95</v>
          </cell>
          <cell r="I25">
            <v>1756.4</v>
          </cell>
        </row>
        <row r="26">
          <cell r="A26" t="str">
            <v>7.                                    5.3.10</v>
          </cell>
          <cell r="B26" t="str">
            <v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v>
          </cell>
        </row>
        <row r="30">
          <cell r="G30">
            <v>17.7</v>
          </cell>
          <cell r="I30">
            <v>6082.45</v>
          </cell>
        </row>
        <row r="31">
          <cell r="A31" t="str">
            <v>8                  5.3.11</v>
          </cell>
          <cell r="B31" t="str">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ell>
        </row>
        <row r="34">
          <cell r="G34">
            <v>7.08</v>
          </cell>
          <cell r="I34">
            <v>6308.87</v>
          </cell>
        </row>
        <row r="35">
          <cell r="A35">
            <v>9</v>
          </cell>
          <cell r="B35" t="str">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ell>
        </row>
        <row r="39">
          <cell r="G39">
            <v>0.91</v>
          </cell>
          <cell r="H39" t="str">
            <v>MT</v>
          </cell>
          <cell r="I39">
            <v>83314.02</v>
          </cell>
        </row>
        <row r="43">
          <cell r="G43">
            <v>1.1200000000000001</v>
          </cell>
          <cell r="H43" t="str">
            <v>MT</v>
          </cell>
          <cell r="I43">
            <v>82096.539999999994</v>
          </cell>
        </row>
        <row r="44">
          <cell r="A44" t="str">
            <v>10                 5.3.17.1</v>
          </cell>
          <cell r="B44" t="str">
            <v>Centering and shuttering including strutting, propping etc. and removal of from for Foundations,footings, bases of columns, etc. for mass concrete.</v>
          </cell>
        </row>
        <row r="48">
          <cell r="G48">
            <v>185.87</v>
          </cell>
          <cell r="I48">
            <v>194.5</v>
          </cell>
        </row>
        <row r="49">
          <cell r="A49">
            <v>11</v>
          </cell>
        </row>
        <row r="50">
          <cell r="B50" t="str">
            <v>SAND (Kanchi River)-LEAD-47KM</v>
          </cell>
          <cell r="I50">
            <v>819.06</v>
          </cell>
        </row>
        <row r="51">
          <cell r="B51" t="str">
            <v>LOCAL SAND-LEAD-16KM</v>
          </cell>
          <cell r="I51">
            <v>357.78</v>
          </cell>
        </row>
        <row r="52">
          <cell r="B52" t="str">
            <v>STONE CHIPS-LEAD-20KM</v>
          </cell>
          <cell r="I52">
            <v>417.3</v>
          </cell>
        </row>
        <row r="53">
          <cell r="B53" t="str">
            <v>BOULDER-LEAD-34KM</v>
          </cell>
          <cell r="I53">
            <v>648.59</v>
          </cell>
        </row>
        <row r="54">
          <cell r="B54" t="str">
            <v>EARTH-LEAD-01KM</v>
          </cell>
          <cell r="I54">
            <v>117.54</v>
          </cell>
        </row>
      </sheetData>
      <sheetData sheetId="1"/>
      <sheetData sheetId="2">
        <row r="7">
          <cell r="F7">
            <v>10.66</v>
          </cell>
          <cell r="G7">
            <v>3.54</v>
          </cell>
          <cell r="H7">
            <v>21.31</v>
          </cell>
          <cell r="I7">
            <v>5.95</v>
          </cell>
          <cell r="J7">
            <v>30.37</v>
          </cell>
        </row>
      </sheetData>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RCC DRAIN AT IRGU ROAD, FROM MASZID TO TANVEER HOUSE UNDER WARD NO-29</v>
          </cell>
        </row>
        <row r="4">
          <cell r="A4">
            <v>1</v>
          </cell>
          <cell r="B4" t="str">
            <v>Labour for site clearence before and after the work etc.</v>
          </cell>
          <cell r="G4">
            <v>1</v>
          </cell>
          <cell r="H4" t="str">
            <v>No.</v>
          </cell>
          <cell r="I4">
            <v>326.85000000000002</v>
          </cell>
        </row>
        <row r="5">
          <cell r="A5" t="str">
            <v xml:space="preserve">    2         5.10.2</v>
          </cell>
          <cell r="B5" t="str">
            <v>Dismantling plain cement or lime concrete work including ………do…….complete as per specification and  direction of E/I.</v>
          </cell>
        </row>
        <row r="8">
          <cell r="G8">
            <v>1.06</v>
          </cell>
          <cell r="I8">
            <v>955.89</v>
          </cell>
        </row>
        <row r="9">
          <cell r="A9" t="str">
            <v>3       5.1.1.</v>
          </cell>
        </row>
        <row r="13">
          <cell r="G13">
            <v>23.63</v>
          </cell>
          <cell r="I13">
            <v>151.82</v>
          </cell>
        </row>
        <row r="14">
          <cell r="A14" t="str">
            <v>4.         5.1.10</v>
          </cell>
        </row>
        <row r="17">
          <cell r="G17">
            <v>1.95</v>
          </cell>
          <cell r="I17">
            <v>589.51</v>
          </cell>
        </row>
        <row r="18">
          <cell r="A18" t="str">
            <v>5.       5.6.8 (C.I.W.)</v>
          </cell>
        </row>
        <row r="21">
          <cell r="G21">
            <v>3.27</v>
          </cell>
          <cell r="I21">
            <v>1756.4</v>
          </cell>
        </row>
        <row r="22">
          <cell r="A22" t="str">
            <v>6.                                    5.3.10</v>
          </cell>
          <cell r="B22" t="str">
            <v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v>
          </cell>
        </row>
        <row r="26">
          <cell r="G26">
            <v>8.57</v>
          </cell>
          <cell r="I26">
            <v>6082.45</v>
          </cell>
        </row>
        <row r="27">
          <cell r="A27" t="str">
            <v>7                  5.3.11</v>
          </cell>
          <cell r="B27" t="str">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ell>
        </row>
        <row r="30">
          <cell r="G30">
            <v>3.89</v>
          </cell>
          <cell r="I30">
            <v>6308.87</v>
          </cell>
        </row>
        <row r="31">
          <cell r="A31">
            <v>8</v>
          </cell>
          <cell r="B31" t="str">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ell>
        </row>
        <row r="35">
          <cell r="G35">
            <v>0.46</v>
          </cell>
          <cell r="H35" t="str">
            <v>MT</v>
          </cell>
          <cell r="I35">
            <v>83314.02</v>
          </cell>
        </row>
        <row r="39">
          <cell r="G39">
            <v>0.56000000000000005</v>
          </cell>
          <cell r="H39" t="str">
            <v>MT</v>
          </cell>
          <cell r="I39">
            <v>82096.539999999994</v>
          </cell>
        </row>
        <row r="40">
          <cell r="A40" t="str">
            <v>9                 5.3.17.1</v>
          </cell>
          <cell r="B40" t="str">
            <v>Centering and shuttering including strutting, propping etc. and removal of from for Foundations,footings, bases of columns, etc. for mass concrete.</v>
          </cell>
        </row>
        <row r="44">
          <cell r="G44">
            <v>40.89</v>
          </cell>
          <cell r="I44">
            <v>194.5</v>
          </cell>
        </row>
        <row r="45">
          <cell r="A45">
            <v>10</v>
          </cell>
        </row>
        <row r="46">
          <cell r="B46" t="str">
            <v>SAND (Kanchi River)-LEAD-47KM</v>
          </cell>
          <cell r="I46">
            <v>819.06</v>
          </cell>
        </row>
        <row r="47">
          <cell r="B47" t="str">
            <v>LOCAL SAND-LEAD-16KM</v>
          </cell>
          <cell r="I47">
            <v>357.78</v>
          </cell>
        </row>
        <row r="48">
          <cell r="B48" t="str">
            <v>STONE CHIPS-LEAD-20KM</v>
          </cell>
          <cell r="I48">
            <v>417.3</v>
          </cell>
        </row>
        <row r="49">
          <cell r="B49" t="str">
            <v>BOULDER-LEAD-34KM</v>
          </cell>
          <cell r="I49">
            <v>648.59</v>
          </cell>
        </row>
        <row r="50">
          <cell r="B50" t="str">
            <v>EARTH-LEAD-01KM</v>
          </cell>
          <cell r="I50">
            <v>117.54</v>
          </cell>
        </row>
      </sheetData>
      <sheetData sheetId="1"/>
      <sheetData sheetId="2">
        <row r="7">
          <cell r="F7">
            <v>5.36</v>
          </cell>
          <cell r="G7">
            <v>1.95</v>
          </cell>
          <cell r="H7">
            <v>10.72</v>
          </cell>
          <cell r="I7">
            <v>3.27</v>
          </cell>
          <cell r="J7">
            <v>23.63</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8">
          <cell r="G8">
            <v>134.62</v>
          </cell>
        </row>
        <row r="13">
          <cell r="G13">
            <v>57.07</v>
          </cell>
        </row>
        <row r="18">
          <cell r="G18">
            <v>95.11</v>
          </cell>
        </row>
        <row r="22">
          <cell r="G22">
            <v>87.800000000000011</v>
          </cell>
        </row>
        <row r="27">
          <cell r="G27">
            <v>57.629999999999995</v>
          </cell>
        </row>
      </sheetData>
      <sheetData sheetId="1" refreshError="1">
        <row r="7">
          <cell r="E7">
            <v>57.07</v>
          </cell>
          <cell r="F7">
            <v>37.68</v>
          </cell>
          <cell r="G7">
            <v>75.36</v>
          </cell>
          <cell r="H7">
            <v>95.11</v>
          </cell>
          <cell r="I7">
            <v>134.62</v>
          </cell>
        </row>
      </sheetData>
      <sheetData sheetId="2"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PCC ROAD AT ILAHI NAGAR FROM HOUSE OF RAJA JEE TO P.C.C MAIN ROAD UNDER WARD NO-35</v>
          </cell>
        </row>
        <row r="4">
          <cell r="A4">
            <v>1</v>
          </cell>
          <cell r="B4" t="str">
            <v>Labour for site clearence before and after the work etc.</v>
          </cell>
          <cell r="G4">
            <v>2</v>
          </cell>
          <cell r="I4">
            <v>326.85000000000002</v>
          </cell>
        </row>
        <row r="5">
          <cell r="A5" t="str">
            <v>2       5.1.1.</v>
          </cell>
        </row>
        <row r="8">
          <cell r="G8">
            <v>66.41</v>
          </cell>
          <cell r="I8">
            <v>151.82</v>
          </cell>
        </row>
        <row r="9">
          <cell r="A9" t="str">
            <v>3.           M-004</v>
          </cell>
        </row>
        <row r="12">
          <cell r="G12">
            <v>24.78</v>
          </cell>
          <cell r="I12">
            <v>347.85</v>
          </cell>
        </row>
        <row r="13">
          <cell r="A13" t="str">
            <v>4.       5.6.8 (C.I.W.)</v>
          </cell>
        </row>
        <row r="16">
          <cell r="G16">
            <v>41.63</v>
          </cell>
          <cell r="I16">
            <v>1756.4</v>
          </cell>
        </row>
        <row r="17">
          <cell r="A17" t="str">
            <v>5.     5.3.1.1</v>
          </cell>
        </row>
        <row r="20">
          <cell r="G20">
            <v>49.56</v>
          </cell>
          <cell r="I20">
            <v>4961.7299999999996</v>
          </cell>
        </row>
        <row r="21">
          <cell r="A21" t="str">
            <v>6               5.3.17.1</v>
          </cell>
        </row>
        <row r="24">
          <cell r="G24">
            <v>32.53</v>
          </cell>
          <cell r="I24">
            <v>194.5</v>
          </cell>
        </row>
        <row r="25">
          <cell r="A25">
            <v>7</v>
          </cell>
        </row>
        <row r="26">
          <cell r="B26" t="str">
            <v>SAND-LEAD-49KM</v>
          </cell>
          <cell r="I26">
            <v>848.82</v>
          </cell>
        </row>
        <row r="27">
          <cell r="B27" t="str">
            <v>STONE DUST-LEAD-22KM</v>
          </cell>
          <cell r="I27">
            <v>477.38</v>
          </cell>
        </row>
        <row r="28">
          <cell r="B28" t="str">
            <v>STONE CHIPS-LEAD-22KM</v>
          </cell>
          <cell r="I28">
            <v>477.38</v>
          </cell>
        </row>
        <row r="29">
          <cell r="B29" t="str">
            <v>BOULDER-LEAD-36KM</v>
          </cell>
          <cell r="I29">
            <v>679.66</v>
          </cell>
        </row>
        <row r="30">
          <cell r="B30" t="str">
            <v>EARTH-LEAD-01km</v>
          </cell>
          <cell r="I30">
            <v>117.54</v>
          </cell>
        </row>
      </sheetData>
      <sheetData sheetId="1"/>
      <sheetData sheetId="2">
        <row r="7">
          <cell r="F7">
            <v>21.31</v>
          </cell>
          <cell r="G7">
            <v>24.78</v>
          </cell>
          <cell r="H7">
            <v>42.62</v>
          </cell>
          <cell r="I7">
            <v>41.63</v>
          </cell>
          <cell r="J7">
            <v>66.41</v>
          </cell>
        </row>
      </sheetData>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PCC ROAD AT( A) ILHI NAGAR HOUSE F MUSKIM JEE TO EMMAM BARA  (B)  HOUSE OF ABHALEA JEE TO HOUSE OF RAWANI JEE UNDER WARD NO-35</v>
          </cell>
        </row>
        <row r="4">
          <cell r="A4">
            <v>1</v>
          </cell>
          <cell r="B4" t="str">
            <v>Labour for site clearence before and after the work etc.</v>
          </cell>
          <cell r="G4">
            <v>4</v>
          </cell>
          <cell r="I4">
            <v>326.85000000000002</v>
          </cell>
        </row>
        <row r="5">
          <cell r="A5" t="str">
            <v>2       5.1.1.</v>
          </cell>
        </row>
        <row r="8">
          <cell r="G8">
            <v>75.900000000000006</v>
          </cell>
          <cell r="I8">
            <v>151.82</v>
          </cell>
        </row>
        <row r="9">
          <cell r="A9" t="str">
            <v>3.           M-004</v>
          </cell>
        </row>
        <row r="12">
          <cell r="G12">
            <v>28.32</v>
          </cell>
          <cell r="I12">
            <v>347.85</v>
          </cell>
        </row>
        <row r="13">
          <cell r="A13" t="str">
            <v>4.       5.6.8 (C.I.W.)</v>
          </cell>
        </row>
        <row r="16">
          <cell r="G16">
            <v>47.58</v>
          </cell>
          <cell r="I16">
            <v>1756.4</v>
          </cell>
        </row>
        <row r="17">
          <cell r="A17" t="str">
            <v>5.     5.3.1.1</v>
          </cell>
        </row>
        <row r="20">
          <cell r="G20">
            <v>56.64</v>
          </cell>
          <cell r="I20">
            <v>4961.7299999999996</v>
          </cell>
        </row>
        <row r="21">
          <cell r="A21" t="str">
            <v>6               5.3.17.1</v>
          </cell>
        </row>
        <row r="24">
          <cell r="G24">
            <v>37.17</v>
          </cell>
          <cell r="I24">
            <v>194.5</v>
          </cell>
        </row>
        <row r="25">
          <cell r="A25">
            <v>7</v>
          </cell>
        </row>
        <row r="26">
          <cell r="B26" t="str">
            <v>SAND-LEAD-49KM</v>
          </cell>
          <cell r="I26">
            <v>848.82</v>
          </cell>
        </row>
        <row r="27">
          <cell r="B27" t="str">
            <v>STONE DUST-LEAD-22KM</v>
          </cell>
          <cell r="I27">
            <v>477.38</v>
          </cell>
        </row>
        <row r="28">
          <cell r="B28" t="str">
            <v>STONE CHIPS-LEAD-22KM</v>
          </cell>
          <cell r="I28">
            <v>477.38</v>
          </cell>
        </row>
        <row r="29">
          <cell r="B29" t="str">
            <v>BOULDER-LEAD-36KM</v>
          </cell>
          <cell r="I29">
            <v>679.66</v>
          </cell>
        </row>
        <row r="30">
          <cell r="B30" t="str">
            <v>EARTH-LEAD-01km</v>
          </cell>
          <cell r="I30">
            <v>117.54</v>
          </cell>
        </row>
      </sheetData>
      <sheetData sheetId="1"/>
      <sheetData sheetId="2">
        <row r="7">
          <cell r="F7">
            <v>24.36</v>
          </cell>
          <cell r="G7">
            <v>28.32</v>
          </cell>
          <cell r="H7">
            <v>48.71</v>
          </cell>
          <cell r="I7">
            <v>47.58</v>
          </cell>
          <cell r="J7">
            <v>75.900000000000006</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PCC ROAD AT NEW ARIA PIPER TOLI HOSE OF BIMAL TOPPO TO HOUSE OF BIJENDAR BARMAN UNDER WARD NO-35</v>
          </cell>
        </row>
        <row r="4">
          <cell r="A4">
            <v>1</v>
          </cell>
          <cell r="B4" t="str">
            <v>Labour for site clearence before and after the work etc.</v>
          </cell>
          <cell r="G4">
            <v>3</v>
          </cell>
          <cell r="I4">
            <v>326.85000000000002</v>
          </cell>
        </row>
        <row r="5">
          <cell r="A5" t="str">
            <v>2       5.1.1.</v>
          </cell>
        </row>
        <row r="8">
          <cell r="G8">
            <v>47.44</v>
          </cell>
          <cell r="I8">
            <v>151.82</v>
          </cell>
        </row>
        <row r="9">
          <cell r="A9" t="str">
            <v>3.           M-004</v>
          </cell>
        </row>
        <row r="12">
          <cell r="G12">
            <v>17.7</v>
          </cell>
          <cell r="I12">
            <v>347.85</v>
          </cell>
        </row>
        <row r="13">
          <cell r="A13" t="str">
            <v>4.       5.6.8 (C.I.W.)</v>
          </cell>
        </row>
        <row r="16">
          <cell r="G16">
            <v>29.74</v>
          </cell>
          <cell r="I16">
            <v>1756.4</v>
          </cell>
        </row>
        <row r="17">
          <cell r="A17" t="str">
            <v>5.     5.3.1.1</v>
          </cell>
        </row>
        <row r="20">
          <cell r="G20">
            <v>35.4</v>
          </cell>
          <cell r="I20">
            <v>4961.7299999999996</v>
          </cell>
        </row>
        <row r="21">
          <cell r="A21" t="str">
            <v>6               5.3.17.1</v>
          </cell>
        </row>
        <row r="24">
          <cell r="G24">
            <v>23.23</v>
          </cell>
          <cell r="I24">
            <v>194.5</v>
          </cell>
        </row>
        <row r="25">
          <cell r="A25">
            <v>7</v>
          </cell>
        </row>
        <row r="26">
          <cell r="B26" t="str">
            <v>SAND-LEAD-49KM</v>
          </cell>
          <cell r="I26">
            <v>848.82</v>
          </cell>
        </row>
        <row r="27">
          <cell r="B27" t="str">
            <v>STONE DUST-LEAD-22KM</v>
          </cell>
          <cell r="I27">
            <v>477.38</v>
          </cell>
        </row>
        <row r="28">
          <cell r="B28" t="str">
            <v>STONE CHIPS-LEAD-22KM</v>
          </cell>
          <cell r="I28">
            <v>477.38</v>
          </cell>
        </row>
        <row r="29">
          <cell r="B29" t="str">
            <v>BOULDER-LEAD-36KM</v>
          </cell>
          <cell r="I29">
            <v>679.66</v>
          </cell>
        </row>
        <row r="30">
          <cell r="B30" t="str">
            <v>EARTH-LEAD-01km</v>
          </cell>
          <cell r="I30">
            <v>117.54</v>
          </cell>
        </row>
      </sheetData>
      <sheetData sheetId="1"/>
      <sheetData sheetId="2">
        <row r="7">
          <cell r="F7">
            <v>15.22</v>
          </cell>
          <cell r="G7">
            <v>17.7</v>
          </cell>
          <cell r="H7">
            <v>30.44</v>
          </cell>
          <cell r="I7">
            <v>29.74</v>
          </cell>
          <cell r="J7">
            <v>47.44</v>
          </cell>
        </row>
      </sheetData>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PCC ROAD AT BAZRA JHIRGI TOLI FROM AKHARA TO GOGA ORAON HOUSE UNDER WARD NO-35</v>
          </cell>
        </row>
        <row r="4">
          <cell r="A4">
            <v>1</v>
          </cell>
          <cell r="B4" t="str">
            <v>Labour for site clearence before and after the work etc.</v>
          </cell>
          <cell r="G4">
            <v>4</v>
          </cell>
          <cell r="I4">
            <v>326.85000000000002</v>
          </cell>
        </row>
        <row r="5">
          <cell r="A5" t="str">
            <v>2       5.1.1.</v>
          </cell>
        </row>
        <row r="8">
          <cell r="G8">
            <v>75.900000000000006</v>
          </cell>
          <cell r="I8">
            <v>151.82</v>
          </cell>
        </row>
        <row r="9">
          <cell r="A9" t="str">
            <v>3.           M-004</v>
          </cell>
        </row>
        <row r="12">
          <cell r="G12">
            <v>28.32</v>
          </cell>
          <cell r="I12">
            <v>347.85</v>
          </cell>
        </row>
        <row r="13">
          <cell r="A13" t="str">
            <v>4.       5.6.8 (C.I.W.)</v>
          </cell>
        </row>
        <row r="16">
          <cell r="G16">
            <v>47.58</v>
          </cell>
          <cell r="I16">
            <v>1756.4</v>
          </cell>
        </row>
        <row r="17">
          <cell r="A17" t="str">
            <v>5.     5.3.1.1</v>
          </cell>
        </row>
        <row r="20">
          <cell r="G20">
            <v>56.64</v>
          </cell>
          <cell r="I20">
            <v>4961.7299999999996</v>
          </cell>
        </row>
        <row r="21">
          <cell r="A21" t="str">
            <v>6               5.3.17.1</v>
          </cell>
        </row>
        <row r="24">
          <cell r="G24">
            <v>37.17</v>
          </cell>
          <cell r="I24">
            <v>194.5</v>
          </cell>
        </row>
        <row r="25">
          <cell r="A25">
            <v>7</v>
          </cell>
        </row>
        <row r="26">
          <cell r="B26" t="str">
            <v>SAND-LEAD-49KM</v>
          </cell>
          <cell r="I26">
            <v>848.82</v>
          </cell>
        </row>
        <row r="27">
          <cell r="B27" t="str">
            <v>STONE DUST-LEAD-22KM</v>
          </cell>
          <cell r="I27">
            <v>477.38</v>
          </cell>
        </row>
        <row r="28">
          <cell r="B28" t="str">
            <v>STONE CHIPS-LEAD-22KM</v>
          </cell>
          <cell r="I28">
            <v>477.38</v>
          </cell>
        </row>
        <row r="29">
          <cell r="B29" t="str">
            <v>BOULDER-LEAD-36KM</v>
          </cell>
          <cell r="I29">
            <v>679.66</v>
          </cell>
        </row>
        <row r="30">
          <cell r="B30" t="str">
            <v>EARTH-LEAD-01km</v>
          </cell>
          <cell r="I30">
            <v>117.54</v>
          </cell>
        </row>
      </sheetData>
      <sheetData sheetId="1"/>
      <sheetData sheetId="2">
        <row r="7">
          <cell r="F7">
            <v>24.36</v>
          </cell>
          <cell r="G7">
            <v>28.32</v>
          </cell>
          <cell r="H7">
            <v>48.71</v>
          </cell>
          <cell r="I7">
            <v>47.58</v>
          </cell>
          <cell r="J7">
            <v>75.900000000000006</v>
          </cell>
        </row>
      </sheetData>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DETAILED ESTIMATE"/>
      <sheetName val="MATERIAL STATEMENT"/>
      <sheetName val="BILL OF QUANTITY"/>
    </sheetNames>
    <sheetDataSet>
      <sheetData sheetId="0">
        <row r="8">
          <cell r="G8">
            <v>36.193712829226847</v>
          </cell>
          <cell r="I8">
            <v>151.82</v>
          </cell>
        </row>
        <row r="12">
          <cell r="G12">
            <v>158.36431226765799</v>
          </cell>
        </row>
        <row r="16">
          <cell r="G16">
            <v>10.28</v>
          </cell>
          <cell r="I16">
            <v>4961.7299999999996</v>
          </cell>
        </row>
        <row r="18">
          <cell r="B18" t="str">
            <v>SAND-LEAD-42 KM</v>
          </cell>
          <cell r="C18">
            <v>0.43</v>
          </cell>
          <cell r="I18">
            <v>744.66</v>
          </cell>
        </row>
        <row r="19">
          <cell r="B19" t="str">
            <v>CHIPS-LEAD-15KM</v>
          </cell>
          <cell r="C19">
            <v>8.8407999999999998</v>
          </cell>
          <cell r="I19">
            <v>342.9</v>
          </cell>
        </row>
        <row r="20">
          <cell r="B20" t="str">
            <v>EARTH-LEAD-1km</v>
          </cell>
          <cell r="C20">
            <v>36.193712829226847</v>
          </cell>
          <cell r="I20">
            <v>117.54</v>
          </cell>
        </row>
      </sheetData>
      <sheetData sheetId="1" refreshError="1"/>
      <sheetData sheetId="2"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ow r="2">
          <cell r="A2" t="str">
            <v>Name of Work :-CONSTRUCTION OF PCC ROAD At Bank Mode Sec II UNDER WARD NO-41</v>
          </cell>
        </row>
        <row r="4">
          <cell r="A4">
            <v>1</v>
          </cell>
          <cell r="B4" t="str">
            <v>Providing Mandays for site clearence before and after the work etc.</v>
          </cell>
          <cell r="G4">
            <v>6</v>
          </cell>
          <cell r="I4">
            <v>330.4</v>
          </cell>
        </row>
        <row r="5">
          <cell r="A5" t="str">
            <v>2       5.1.1.+ 5.1.2</v>
          </cell>
          <cell r="B5" t="str">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ell>
        </row>
        <row r="8">
          <cell r="G8">
            <v>105.78</v>
          </cell>
        </row>
        <row r="9">
          <cell r="A9" t="str">
            <v>3.         5.1.10</v>
          </cell>
          <cell r="B9" t="str">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ell>
        </row>
        <row r="12">
          <cell r="G12">
            <v>31.86</v>
          </cell>
        </row>
        <row r="13">
          <cell r="A13" t="str">
            <v>4.       5.6.8</v>
          </cell>
          <cell r="B13" t="str">
            <v>Supplying and laying (properly as per design and drawing )rip-rap with good quality of boulders duly packed including the cost of materials,royalty all taxes etc.but excluding the cost of carriage, all complete as per specification and direction of E/I.</v>
          </cell>
        </row>
        <row r="16">
          <cell r="G16">
            <v>53.53</v>
          </cell>
        </row>
        <row r="17">
          <cell r="A17" t="str">
            <v>5.     5.3.1.1</v>
          </cell>
          <cell r="B17" t="str">
            <v xml:space="preserve">Providing and laying in position concrete of specified grade excluding the cost of centering and shuttering- All work upto plinth level : 1:1½:3 (1 cemet : 1½ coarse sand (zone-iii) : 3 graded stone aggregate 20mm nominal size )  </v>
          </cell>
        </row>
        <row r="20">
          <cell r="G20">
            <v>63.72</v>
          </cell>
        </row>
        <row r="21">
          <cell r="A21" t="str">
            <v>6               5.3.17.1</v>
          </cell>
          <cell r="B21" t="str">
            <v>Centering and shuttering including strutting, propping etc. and removal of from for Foundations,footings, bases of columns, etc. for mass concrete.</v>
          </cell>
        </row>
        <row r="24">
          <cell r="G24">
            <v>41.82</v>
          </cell>
          <cell r="I24">
            <v>194.5</v>
          </cell>
          <cell r="J24">
            <v>8133.99</v>
          </cell>
        </row>
        <row r="25">
          <cell r="A25">
            <v>7</v>
          </cell>
        </row>
        <row r="26">
          <cell r="I26">
            <v>744.66</v>
          </cell>
        </row>
        <row r="27">
          <cell r="I27">
            <v>387.54</v>
          </cell>
        </row>
        <row r="28">
          <cell r="I28">
            <v>342.9</v>
          </cell>
        </row>
        <row r="29">
          <cell r="I29">
            <v>570.94000000000005</v>
          </cell>
        </row>
        <row r="30">
          <cell r="I30">
            <v>117.54</v>
          </cell>
        </row>
      </sheetData>
      <sheetData sheetId="1" refreshError="1"/>
      <sheetData sheetId="2"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ESTIMATE"/>
      <sheetName val="BOQ"/>
      <sheetName val="MATERIAL "/>
    </sheetNames>
    <sheetDataSet>
      <sheetData sheetId="0" refreshError="1">
        <row r="2">
          <cell r="A2" t="str">
            <v>Name of Work :-CONSTRUCTION OF RCC DRAIN AT KETARI BAGAN  ROAD-7, FROM PRABHAT KUMAR HOUSE AND ROAD NO-6, GAUTAM DEV HOUSE TO GHANA ORAON HOUSE UNDER WARD NO-13</v>
          </cell>
        </row>
        <row r="33">
          <cell r="I33">
            <v>6308.87</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I49"/>
  <sheetViews>
    <sheetView zoomScaleSheetLayoutView="100" workbookViewId="0">
      <selection activeCell="B6" sqref="B6"/>
    </sheetView>
  </sheetViews>
  <sheetFormatPr defaultRowHeight="15"/>
  <cols>
    <col min="1" max="1" width="7.7109375" style="293" customWidth="1"/>
    <col min="2" max="2" width="50.42578125" style="293" customWidth="1"/>
    <col min="3" max="3" width="8.5703125" style="293" customWidth="1"/>
    <col min="4" max="4" width="5.140625" style="293" bestFit="1" customWidth="1"/>
    <col min="5" max="5" width="10.28515625" style="293" customWidth="1"/>
    <col min="6" max="6" width="18.85546875" style="293" customWidth="1"/>
    <col min="7" max="16384" width="9.140625" style="293"/>
  </cols>
  <sheetData>
    <row r="1" spans="1:9" ht="34.5" customHeight="1">
      <c r="A1" s="371" t="s">
        <v>352</v>
      </c>
      <c r="B1" s="371"/>
      <c r="C1" s="371"/>
      <c r="D1" s="371"/>
      <c r="E1" s="371"/>
      <c r="F1" s="371"/>
    </row>
    <row r="2" spans="1:9" ht="18.75" customHeight="1">
      <c r="A2" s="372" t="s">
        <v>75</v>
      </c>
      <c r="B2" s="373"/>
      <c r="C2" s="373"/>
      <c r="D2" s="373"/>
      <c r="E2" s="373"/>
      <c r="F2" s="374"/>
    </row>
    <row r="3" spans="1:9" ht="38.25" customHeight="1">
      <c r="A3" s="375" t="s">
        <v>353</v>
      </c>
      <c r="B3" s="376"/>
      <c r="C3" s="376"/>
      <c r="D3" s="376"/>
      <c r="E3" s="376"/>
      <c r="F3" s="377"/>
    </row>
    <row r="4" spans="1:9" s="304" customFormat="1" ht="99" customHeight="1">
      <c r="A4" s="298" t="s">
        <v>354</v>
      </c>
      <c r="B4" s="299" t="s">
        <v>355</v>
      </c>
      <c r="C4" s="300">
        <v>56.26</v>
      </c>
      <c r="D4" s="301" t="s">
        <v>15</v>
      </c>
      <c r="E4" s="302">
        <v>151.82</v>
      </c>
      <c r="F4" s="303">
        <f>ROUND((C4*E4),2)</f>
        <v>8541.39</v>
      </c>
    </row>
    <row r="5" spans="1:9" ht="96" customHeight="1">
      <c r="A5" s="305" t="s">
        <v>356</v>
      </c>
      <c r="B5" s="306" t="s">
        <v>46</v>
      </c>
      <c r="C5" s="307">
        <v>5.27</v>
      </c>
      <c r="D5" s="301" t="s">
        <v>15</v>
      </c>
      <c r="E5" s="307">
        <v>589.51</v>
      </c>
      <c r="F5" s="303">
        <f t="shared" ref="F5:F16" si="0">ROUND((C5*E5),2)</f>
        <v>3106.72</v>
      </c>
    </row>
    <row r="6" spans="1:9" s="308" customFormat="1" ht="81.75" customHeight="1">
      <c r="A6" s="305" t="s">
        <v>357</v>
      </c>
      <c r="B6" s="306" t="s">
        <v>48</v>
      </c>
      <c r="C6" s="307">
        <v>8.64</v>
      </c>
      <c r="D6" s="301" t="s">
        <v>15</v>
      </c>
      <c r="E6" s="307">
        <v>1756.4</v>
      </c>
      <c r="F6" s="303">
        <f t="shared" si="0"/>
        <v>15175.3</v>
      </c>
    </row>
    <row r="7" spans="1:9" s="308" customFormat="1" ht="59.25" customHeight="1">
      <c r="A7" s="305" t="s">
        <v>358</v>
      </c>
      <c r="B7" s="309" t="s">
        <v>359</v>
      </c>
      <c r="C7" s="307">
        <v>26.34</v>
      </c>
      <c r="D7" s="301" t="s">
        <v>15</v>
      </c>
      <c r="E7" s="307">
        <v>6082.45</v>
      </c>
      <c r="F7" s="303">
        <f t="shared" si="0"/>
        <v>160211.73000000001</v>
      </c>
    </row>
    <row r="8" spans="1:9" s="308" customFormat="1" ht="58.5" customHeight="1">
      <c r="A8" s="305" t="s">
        <v>360</v>
      </c>
      <c r="B8" s="309" t="s">
        <v>361</v>
      </c>
      <c r="C8" s="307">
        <v>10.54</v>
      </c>
      <c r="D8" s="301" t="s">
        <v>15</v>
      </c>
      <c r="E8" s="307">
        <v>6308.87</v>
      </c>
      <c r="F8" s="303">
        <f t="shared" si="0"/>
        <v>66495.490000000005</v>
      </c>
    </row>
    <row r="9" spans="1:9" s="308" customFormat="1" ht="116.25" customHeight="1">
      <c r="A9" s="310">
        <v>6</v>
      </c>
      <c r="B9" s="311" t="s">
        <v>362</v>
      </c>
      <c r="C9" s="312">
        <v>1.1719999999999999</v>
      </c>
      <c r="D9" s="301" t="s">
        <v>15</v>
      </c>
      <c r="E9" s="307">
        <v>83314.02</v>
      </c>
      <c r="F9" s="303">
        <f t="shared" si="0"/>
        <v>97644.03</v>
      </c>
    </row>
    <row r="10" spans="1:9" s="308" customFormat="1" ht="18.75" customHeight="1">
      <c r="A10" s="310"/>
      <c r="B10" s="311" t="s">
        <v>363</v>
      </c>
      <c r="C10" s="312">
        <v>1.79</v>
      </c>
      <c r="D10" s="301" t="s">
        <v>15</v>
      </c>
      <c r="E10" s="307">
        <v>82096.539999999994</v>
      </c>
      <c r="F10" s="303">
        <f t="shared" si="0"/>
        <v>146952.81</v>
      </c>
    </row>
    <row r="11" spans="1:9" s="308" customFormat="1" ht="50.25" customHeight="1">
      <c r="A11" s="305" t="s">
        <v>364</v>
      </c>
      <c r="B11" s="306" t="s">
        <v>57</v>
      </c>
      <c r="C11" s="313">
        <v>207.43</v>
      </c>
      <c r="D11" s="314" t="s">
        <v>11</v>
      </c>
      <c r="E11" s="315">
        <v>194.5</v>
      </c>
      <c r="F11" s="303">
        <f t="shared" si="0"/>
        <v>40345.14</v>
      </c>
      <c r="I11" s="308" t="s">
        <v>365</v>
      </c>
    </row>
    <row r="12" spans="1:9" s="308" customFormat="1" ht="26.25" customHeight="1">
      <c r="A12" s="316" t="s">
        <v>13</v>
      </c>
      <c r="B12" s="317" t="s">
        <v>69</v>
      </c>
      <c r="C12" s="307">
        <v>15.86</v>
      </c>
      <c r="D12" s="307" t="s">
        <v>15</v>
      </c>
      <c r="E12" s="315">
        <v>848.82</v>
      </c>
      <c r="F12" s="303">
        <f t="shared" si="0"/>
        <v>13462.29</v>
      </c>
    </row>
    <row r="13" spans="1:9" s="308" customFormat="1" ht="24" customHeight="1">
      <c r="A13" s="316" t="s">
        <v>16</v>
      </c>
      <c r="B13" s="317" t="s">
        <v>366</v>
      </c>
      <c r="C13" s="307">
        <v>5.27</v>
      </c>
      <c r="D13" s="307" t="s">
        <v>15</v>
      </c>
      <c r="E13" s="315">
        <v>313.14</v>
      </c>
      <c r="F13" s="303">
        <f t="shared" si="0"/>
        <v>1650.25</v>
      </c>
    </row>
    <row r="14" spans="1:9" s="308" customFormat="1" ht="24" customHeight="1">
      <c r="A14" s="316" t="s">
        <v>18</v>
      </c>
      <c r="B14" s="318" t="s">
        <v>367</v>
      </c>
      <c r="C14" s="307">
        <v>31.72</v>
      </c>
      <c r="D14" s="307" t="s">
        <v>15</v>
      </c>
      <c r="E14" s="315">
        <v>447.06</v>
      </c>
      <c r="F14" s="303">
        <f t="shared" si="0"/>
        <v>14180.74</v>
      </c>
    </row>
    <row r="15" spans="1:9" s="308" customFormat="1" ht="24" customHeight="1">
      <c r="A15" s="316" t="s">
        <v>20</v>
      </c>
      <c r="B15" s="318" t="s">
        <v>368</v>
      </c>
      <c r="C15" s="307">
        <v>8.64</v>
      </c>
      <c r="D15" s="307" t="s">
        <v>15</v>
      </c>
      <c r="E15" s="315">
        <v>679.66</v>
      </c>
      <c r="F15" s="303">
        <f t="shared" si="0"/>
        <v>5872.26</v>
      </c>
    </row>
    <row r="16" spans="1:9" s="308" customFormat="1" ht="24" customHeight="1">
      <c r="A16" s="316" t="s">
        <v>22</v>
      </c>
      <c r="B16" s="318" t="s">
        <v>369</v>
      </c>
      <c r="C16" s="307">
        <v>56.26</v>
      </c>
      <c r="D16" s="307" t="s">
        <v>15</v>
      </c>
      <c r="E16" s="315">
        <v>117.54</v>
      </c>
      <c r="F16" s="303">
        <f t="shared" si="0"/>
        <v>6612.8</v>
      </c>
    </row>
    <row r="17" spans="1:6" s="308" customFormat="1">
      <c r="A17" s="319"/>
      <c r="B17" s="320"/>
      <c r="C17" s="321"/>
      <c r="D17" s="322"/>
      <c r="E17" s="322" t="s">
        <v>59</v>
      </c>
      <c r="F17" s="323">
        <f>SUM(F4:F16)</f>
        <v>580250.95000000007</v>
      </c>
    </row>
    <row r="18" spans="1:6" s="308" customFormat="1">
      <c r="A18" s="324"/>
      <c r="B18" s="325"/>
      <c r="C18" s="322"/>
      <c r="D18" s="321"/>
      <c r="E18" s="322" t="s">
        <v>370</v>
      </c>
      <c r="F18" s="323">
        <f>F17*18/100</f>
        <v>104445.17100000002</v>
      </c>
    </row>
    <row r="19" spans="1:6" s="308" customFormat="1">
      <c r="A19" s="324"/>
      <c r="B19" s="325"/>
      <c r="C19" s="322"/>
      <c r="D19" s="322"/>
      <c r="E19" s="322"/>
      <c r="F19" s="323">
        <f>F17+F18</f>
        <v>684696.12100000004</v>
      </c>
    </row>
    <row r="20" spans="1:6" s="308" customFormat="1">
      <c r="A20" s="324"/>
      <c r="B20" s="325"/>
      <c r="C20" s="322"/>
      <c r="D20" s="322"/>
      <c r="E20" s="322" t="s">
        <v>371</v>
      </c>
      <c r="F20" s="323">
        <f>F19*1/100</f>
        <v>6846.9612100000004</v>
      </c>
    </row>
    <row r="21" spans="1:6" s="308" customFormat="1">
      <c r="A21" s="324"/>
      <c r="B21" s="325"/>
      <c r="C21" s="322"/>
      <c r="D21" s="322"/>
      <c r="E21" s="322" t="s">
        <v>59</v>
      </c>
      <c r="F21" s="326">
        <f>F19+F20</f>
        <v>691543.08221000002</v>
      </c>
    </row>
    <row r="22" spans="1:6" s="308" customFormat="1">
      <c r="C22" s="327"/>
      <c r="D22" s="327"/>
      <c r="E22" s="327"/>
      <c r="F22" s="327"/>
    </row>
    <row r="23" spans="1:6" s="308" customFormat="1">
      <c r="C23" s="327"/>
      <c r="D23" s="327"/>
      <c r="E23" s="327"/>
      <c r="F23" s="327"/>
    </row>
    <row r="24" spans="1:6" s="308" customFormat="1">
      <c r="C24" s="327"/>
      <c r="D24" s="327"/>
      <c r="E24" s="327"/>
      <c r="F24" s="327"/>
    </row>
    <row r="25" spans="1:6" s="308" customFormat="1">
      <c r="C25" s="327"/>
      <c r="D25" s="327"/>
      <c r="E25" s="327"/>
      <c r="F25" s="327"/>
    </row>
    <row r="26" spans="1:6" s="308" customFormat="1">
      <c r="C26" s="327"/>
      <c r="D26" s="327"/>
      <c r="E26" s="327"/>
      <c r="F26" s="327"/>
    </row>
    <row r="27" spans="1:6" s="308" customFormat="1">
      <c r="C27" s="327"/>
      <c r="D27" s="327"/>
      <c r="E27" s="327"/>
      <c r="F27" s="327"/>
    </row>
    <row r="28" spans="1:6" s="308" customFormat="1">
      <c r="C28" s="327"/>
      <c r="D28" s="327"/>
      <c r="E28" s="327"/>
      <c r="F28" s="327"/>
    </row>
    <row r="29" spans="1:6" s="308" customFormat="1">
      <c r="C29" s="327"/>
      <c r="D29" s="327"/>
      <c r="E29" s="327"/>
      <c r="F29" s="327"/>
    </row>
    <row r="30" spans="1:6" s="308" customFormat="1">
      <c r="C30" s="327"/>
      <c r="D30" s="327"/>
      <c r="E30" s="327"/>
      <c r="F30" s="327"/>
    </row>
    <row r="31" spans="1:6" s="308" customFormat="1">
      <c r="C31" s="327"/>
      <c r="D31" s="327"/>
      <c r="E31" s="327"/>
      <c r="F31" s="327"/>
    </row>
    <row r="32" spans="1:6" s="308" customFormat="1">
      <c r="C32" s="327"/>
      <c r="D32" s="327"/>
      <c r="E32" s="327"/>
      <c r="F32" s="327"/>
    </row>
    <row r="33" spans="1:6" s="308" customFormat="1">
      <c r="C33" s="327"/>
      <c r="D33" s="327"/>
      <c r="E33" s="327"/>
      <c r="F33" s="327"/>
    </row>
    <row r="34" spans="1:6" s="308" customFormat="1">
      <c r="C34" s="327"/>
      <c r="D34" s="327"/>
      <c r="E34" s="327"/>
      <c r="F34" s="327"/>
    </row>
    <row r="35" spans="1:6" s="308" customFormat="1">
      <c r="C35" s="327"/>
      <c r="D35" s="327"/>
      <c r="E35" s="327"/>
      <c r="F35" s="327"/>
    </row>
    <row r="36" spans="1:6" s="308" customFormat="1">
      <c r="C36" s="327"/>
      <c r="D36" s="327"/>
      <c r="E36" s="327"/>
      <c r="F36" s="327"/>
    </row>
    <row r="37" spans="1:6" s="308" customFormat="1">
      <c r="C37" s="327"/>
      <c r="D37" s="327"/>
      <c r="E37" s="327"/>
      <c r="F37" s="327"/>
    </row>
    <row r="38" spans="1:6" s="308" customFormat="1">
      <c r="C38" s="327"/>
      <c r="D38" s="327"/>
      <c r="E38" s="327"/>
      <c r="F38" s="327"/>
    </row>
    <row r="39" spans="1:6" s="308" customFormat="1">
      <c r="A39" s="293"/>
      <c r="B39" s="293"/>
      <c r="C39" s="201"/>
      <c r="D39" s="201"/>
      <c r="E39" s="201"/>
      <c r="F39" s="201"/>
    </row>
    <row r="40" spans="1:6">
      <c r="C40" s="201"/>
      <c r="D40" s="201"/>
      <c r="E40" s="201"/>
      <c r="F40" s="201"/>
    </row>
    <row r="41" spans="1:6">
      <c r="C41" s="201"/>
      <c r="D41" s="201"/>
      <c r="E41" s="201"/>
      <c r="F41" s="201"/>
    </row>
    <row r="42" spans="1:6">
      <c r="C42" s="201"/>
      <c r="D42" s="201"/>
      <c r="E42" s="201"/>
      <c r="F42" s="201"/>
    </row>
    <row r="43" spans="1:6">
      <c r="C43" s="201"/>
      <c r="D43" s="201"/>
      <c r="E43" s="201"/>
      <c r="F43" s="201"/>
    </row>
    <row r="44" spans="1:6">
      <c r="C44" s="201"/>
      <c r="D44" s="201"/>
      <c r="E44" s="201"/>
      <c r="F44" s="201"/>
    </row>
    <row r="45" spans="1:6">
      <c r="C45" s="201"/>
      <c r="D45" s="201"/>
      <c r="E45" s="201"/>
      <c r="F45" s="201"/>
    </row>
    <row r="46" spans="1:6">
      <c r="C46" s="201"/>
      <c r="D46" s="201"/>
      <c r="E46" s="201"/>
      <c r="F46" s="201"/>
    </row>
    <row r="47" spans="1:6">
      <c r="C47" s="201"/>
      <c r="D47" s="201"/>
      <c r="E47" s="201"/>
      <c r="F47" s="201"/>
    </row>
    <row r="48" spans="1:6">
      <c r="C48" s="201"/>
      <c r="D48" s="201"/>
      <c r="E48" s="201"/>
      <c r="F48" s="201"/>
    </row>
    <row r="49" spans="3:6">
      <c r="C49" s="201"/>
      <c r="D49" s="201"/>
      <c r="E49" s="201"/>
      <c r="F49" s="201"/>
    </row>
  </sheetData>
  <mergeCells count="3">
    <mergeCell ref="A1:F1"/>
    <mergeCell ref="A2:F2"/>
    <mergeCell ref="A3:F3"/>
  </mergeCells>
  <pageMargins left="0.48" right="0.3" top="0.74803149606299213" bottom="0.74803149606299213" header="0.31496062992125984" footer="0.31496062992125984"/>
  <pageSetup paperSize="9" scale="80" orientation="portrait" r:id="rId1"/>
  <rowBreaks count="1" manualBreakCount="1">
    <brk id="14" max="16383" man="1"/>
  </rowBreaks>
</worksheet>
</file>

<file path=xl/worksheets/sheet2.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ColWidth="9.140625" defaultRowHeight="15"/>
  <cols>
    <col min="1" max="1" width="9.28515625" style="30" bestFit="1" customWidth="1"/>
    <col min="2" max="2" width="42.28515625" style="31" customWidth="1"/>
    <col min="3" max="3" width="9.140625" style="23" customWidth="1"/>
    <col min="4" max="4" width="9.140625" style="32"/>
    <col min="5" max="5" width="11.28515625" style="297" bestFit="1" customWidth="1"/>
    <col min="6" max="6" width="16.42578125" style="297" customWidth="1"/>
    <col min="7" max="16384" width="9.140625" style="23"/>
  </cols>
  <sheetData>
    <row r="1" spans="1:6" ht="60.75" customHeight="1">
      <c r="A1" s="379" t="s">
        <v>0</v>
      </c>
      <c r="B1" s="379"/>
      <c r="C1" s="379"/>
      <c r="D1" s="379"/>
      <c r="E1" s="379"/>
      <c r="F1" s="379"/>
    </row>
    <row r="2" spans="1:6" ht="18.75">
      <c r="A2" s="380" t="s">
        <v>33</v>
      </c>
      <c r="B2" s="380"/>
      <c r="C2" s="380"/>
      <c r="D2" s="380"/>
      <c r="E2" s="380"/>
      <c r="F2" s="380"/>
    </row>
    <row r="3" spans="1:6" ht="55.5" customHeight="1">
      <c r="A3" s="381" t="str">
        <f>[1]Sheet1!A3</f>
        <v>Name of Work :- Construction of PCC Road at New Nagar Bandhgari from house of Yugal Singh Munda house to Prakash Ram house under ward no-06</v>
      </c>
      <c r="B3" s="381"/>
      <c r="C3" s="381"/>
      <c r="D3" s="381"/>
      <c r="E3" s="381"/>
      <c r="F3" s="381"/>
    </row>
    <row r="4" spans="1:6">
      <c r="A4" s="24" t="s">
        <v>35</v>
      </c>
      <c r="B4" s="24" t="s">
        <v>36</v>
      </c>
      <c r="C4" s="24" t="s">
        <v>37</v>
      </c>
      <c r="D4" s="24" t="s">
        <v>5</v>
      </c>
      <c r="E4" s="294" t="s">
        <v>38</v>
      </c>
      <c r="F4" s="294" t="s">
        <v>39</v>
      </c>
    </row>
    <row r="5" spans="1:6" ht="120">
      <c r="A5" s="131" t="str">
        <f>[1]Sheet1!A5</f>
        <v>1.            5.1.1</v>
      </c>
      <c r="B5" s="26" t="str">
        <f>[1]Sheet1!B5</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5" s="134">
        <f>[1]Sheet1!G8</f>
        <v>32.29</v>
      </c>
      <c r="D5" s="25" t="str">
        <f>D6</f>
        <v>M3</v>
      </c>
      <c r="E5" s="295">
        <f>[1]Sheet1!I8</f>
        <v>151.82</v>
      </c>
      <c r="F5" s="295">
        <f>C5*E5</f>
        <v>4902.2677999999996</v>
      </c>
    </row>
    <row r="6" spans="1:6" ht="120">
      <c r="A6" s="131" t="str">
        <f>[1]Sheet1!A9</f>
        <v>2  4/M004</v>
      </c>
      <c r="B6" s="26" t="str">
        <f>[1]Sheet1!B9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6" s="134">
        <f>[1]Sheet1!G12</f>
        <v>9.6300000000000008</v>
      </c>
      <c r="D6" s="25" t="s">
        <v>158</v>
      </c>
      <c r="E6" s="295">
        <f>[1]Sheet1!I12</f>
        <v>347.85</v>
      </c>
      <c r="F6" s="295">
        <f t="shared" ref="F6:F15" si="0">C6*E6</f>
        <v>3349.7955000000006</v>
      </c>
    </row>
    <row r="7" spans="1:6" ht="90">
      <c r="A7" s="131" t="str">
        <f>[1]Sheet1!A13</f>
        <v>3 5.6.8WRD</v>
      </c>
      <c r="B7" s="26" t="str">
        <f>[1]Sheet1!B13</f>
        <v>Supplying and laying (properly as per design and drawing) rip-rap with good  quality of boulders duly packed including the cost of materials, royalty all taxes etc. but excluding the cost of carriage all complete as per specification and direction of E/I.</v>
      </c>
      <c r="C7" s="134">
        <f>[1]Sheet1!G16</f>
        <v>23.22</v>
      </c>
      <c r="D7" s="25" t="s">
        <v>158</v>
      </c>
      <c r="E7" s="295">
        <f>[1]Sheet1!I16</f>
        <v>1756.4</v>
      </c>
      <c r="F7" s="295">
        <f t="shared" si="0"/>
        <v>40783.608</v>
      </c>
    </row>
    <row r="8" spans="1:6" ht="90">
      <c r="A8" s="131" t="str">
        <f>[1]Sheet1!A17</f>
        <v>4 5.3.1.1</v>
      </c>
      <c r="B8" s="26" t="str">
        <f>[1]Sheet1!B17</f>
        <v>Providing and laying in position cement concrete of specified grade excluding the cost of centering and shuttering - All work up to plinth level1:1.5:3 (1 Cement : 1.5 coarse sand zone(III): 3 graded stone aggregate 20mm nominal size)</v>
      </c>
      <c r="C8" s="134">
        <f>[1]Sheet1!G20</f>
        <v>28.32</v>
      </c>
      <c r="D8" s="25" t="s">
        <v>158</v>
      </c>
      <c r="E8" s="295">
        <f>[1]Sheet1!I20</f>
        <v>4961.7299999999996</v>
      </c>
      <c r="F8" s="295">
        <f t="shared" si="0"/>
        <v>140516.1936</v>
      </c>
    </row>
    <row r="9" spans="1:6" ht="60">
      <c r="A9" s="131" t="str">
        <f>[1]Sheet1!A21</f>
        <v>55.3.17.1</v>
      </c>
      <c r="B9" s="26" t="str">
        <f>[1]Sheet1!B21</f>
        <v>Centering and Shuttering including strutting, propping etc and removal of from for   Foundation , footing , bases of columns etc for mass concrete.</v>
      </c>
      <c r="C9" s="134">
        <f>[1]Sheet1!G24</f>
        <v>18.59</v>
      </c>
      <c r="D9" s="25" t="s">
        <v>172</v>
      </c>
      <c r="E9" s="295">
        <f>[1]Sheet1!I24</f>
        <v>194.5</v>
      </c>
      <c r="F9" s="295">
        <f t="shared" si="0"/>
        <v>3615.7550000000001</v>
      </c>
    </row>
    <row r="10" spans="1:6">
      <c r="A10" s="27">
        <v>6</v>
      </c>
      <c r="B10" s="28" t="s">
        <v>175</v>
      </c>
      <c r="C10" s="29"/>
      <c r="D10" s="25"/>
      <c r="E10" s="295"/>
      <c r="F10" s="295"/>
    </row>
    <row r="11" spans="1:6">
      <c r="A11" s="160" t="s">
        <v>13</v>
      </c>
      <c r="B11" s="296" t="s">
        <v>342</v>
      </c>
      <c r="C11" s="134">
        <f>[1]Sheet1!G26</f>
        <v>12.18</v>
      </c>
      <c r="D11" s="25" t="s">
        <v>158</v>
      </c>
      <c r="E11" s="295">
        <v>848.82</v>
      </c>
      <c r="F11" s="295">
        <f t="shared" si="0"/>
        <v>10338.6276</v>
      </c>
    </row>
    <row r="12" spans="1:6">
      <c r="A12" s="160" t="s">
        <v>16</v>
      </c>
      <c r="B12" s="296" t="s">
        <v>351</v>
      </c>
      <c r="C12" s="26">
        <f>[1]Sheet1!G27</f>
        <v>9.6300000000000008</v>
      </c>
      <c r="D12" s="25" t="s">
        <v>158</v>
      </c>
      <c r="E12" s="295">
        <v>447.06</v>
      </c>
      <c r="F12" s="295">
        <f t="shared" si="0"/>
        <v>4305.1878000000006</v>
      </c>
    </row>
    <row r="13" spans="1:6">
      <c r="A13" s="160" t="s">
        <v>18</v>
      </c>
      <c r="B13" s="296" t="s">
        <v>19</v>
      </c>
      <c r="C13" s="134">
        <f>[1]Sheet1!G28</f>
        <v>23.22</v>
      </c>
      <c r="D13" s="25" t="s">
        <v>158</v>
      </c>
      <c r="E13" s="295">
        <v>679.66</v>
      </c>
      <c r="F13" s="295">
        <f t="shared" si="0"/>
        <v>15781.705199999999</v>
      </c>
    </row>
    <row r="14" spans="1:6">
      <c r="A14" s="160" t="s">
        <v>20</v>
      </c>
      <c r="B14" s="296" t="s">
        <v>21</v>
      </c>
      <c r="C14" s="134">
        <f>[1]Sheet1!G29</f>
        <v>24.36</v>
      </c>
      <c r="D14" s="25" t="s">
        <v>158</v>
      </c>
      <c r="E14" s="295">
        <v>447.06</v>
      </c>
      <c r="F14" s="295">
        <f t="shared" si="0"/>
        <v>10890.381600000001</v>
      </c>
    </row>
    <row r="15" spans="1:6">
      <c r="A15" s="160" t="s">
        <v>22</v>
      </c>
      <c r="B15" s="296" t="s">
        <v>23</v>
      </c>
      <c r="C15" s="26">
        <f>[1]Sheet1!G30</f>
        <v>32.29</v>
      </c>
      <c r="D15" s="25" t="s">
        <v>158</v>
      </c>
      <c r="E15" s="295">
        <v>117.54</v>
      </c>
      <c r="F15" s="295">
        <f t="shared" si="0"/>
        <v>3795.3666000000003</v>
      </c>
    </row>
    <row r="16" spans="1:6" ht="18.75">
      <c r="A16" s="27"/>
      <c r="B16" s="28"/>
      <c r="C16" s="29"/>
      <c r="D16" s="25"/>
      <c r="E16" s="295" t="s">
        <v>59</v>
      </c>
      <c r="F16" s="106">
        <f>SUM(F5:F15)</f>
        <v>238278.88870000001</v>
      </c>
    </row>
    <row r="17" spans="1:6" ht="18.75">
      <c r="A17" s="378" t="s">
        <v>348</v>
      </c>
      <c r="B17" s="378"/>
      <c r="C17" s="378"/>
      <c r="D17" s="378"/>
      <c r="E17" s="378"/>
      <c r="F17" s="106">
        <f>ROUND((F16*18%),2)</f>
        <v>42890.2</v>
      </c>
    </row>
    <row r="18" spans="1:6" ht="18.75">
      <c r="A18" s="378" t="s">
        <v>24</v>
      </c>
      <c r="B18" s="378" t="s">
        <v>24</v>
      </c>
      <c r="C18" s="378"/>
      <c r="D18" s="378"/>
      <c r="E18" s="378"/>
      <c r="F18" s="106">
        <f>F16+F17</f>
        <v>281169.08870000002</v>
      </c>
    </row>
    <row r="19" spans="1:6" ht="18.75">
      <c r="A19" s="378" t="s">
        <v>349</v>
      </c>
      <c r="B19" s="378" t="s">
        <v>350</v>
      </c>
      <c r="C19" s="378"/>
      <c r="D19" s="378"/>
      <c r="E19" s="378"/>
      <c r="F19" s="106">
        <f>ROUND((F18*1%),2)</f>
        <v>2811.69</v>
      </c>
    </row>
    <row r="20" spans="1:6" ht="18.75">
      <c r="A20" s="378" t="s">
        <v>24</v>
      </c>
      <c r="B20" s="378" t="s">
        <v>24</v>
      </c>
      <c r="C20" s="378"/>
      <c r="D20" s="378"/>
      <c r="E20" s="378"/>
      <c r="F20" s="106">
        <f>F18+F19</f>
        <v>283980.77870000002</v>
      </c>
    </row>
    <row r="21" spans="1:6" ht="18.75">
      <c r="A21" s="378" t="s">
        <v>27</v>
      </c>
      <c r="B21" s="378" t="s">
        <v>27</v>
      </c>
      <c r="C21" s="378"/>
      <c r="D21" s="378"/>
      <c r="E21" s="378"/>
      <c r="F21" s="106">
        <f>ROUND((F20),0)</f>
        <v>283981</v>
      </c>
    </row>
  </sheetData>
  <mergeCells count="8">
    <mergeCell ref="A20:E20"/>
    <mergeCell ref="A21:E21"/>
    <mergeCell ref="A1:F1"/>
    <mergeCell ref="A2:F2"/>
    <mergeCell ref="A3:F3"/>
    <mergeCell ref="A17:E17"/>
    <mergeCell ref="A18:E18"/>
    <mergeCell ref="A19:E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dimension ref="A1:F19"/>
  <sheetViews>
    <sheetView workbookViewId="0">
      <selection activeCell="A3" sqref="A3:F3"/>
    </sheetView>
  </sheetViews>
  <sheetFormatPr defaultColWidth="9.140625" defaultRowHeight="15"/>
  <cols>
    <col min="1" max="1" width="9.28515625" style="30" bestFit="1" customWidth="1"/>
    <col min="2" max="2" width="42.28515625" style="31" customWidth="1"/>
    <col min="3" max="3" width="9.140625" style="23" customWidth="1"/>
    <col min="4" max="4" width="5.28515625" style="32" bestFit="1" customWidth="1"/>
    <col min="5" max="5" width="11.28515625" style="297" bestFit="1" customWidth="1"/>
    <col min="6" max="6" width="18.5703125" style="297" bestFit="1" customWidth="1"/>
    <col min="7" max="16384" width="9.140625" style="23"/>
  </cols>
  <sheetData>
    <row r="1" spans="1:6" ht="60.75" customHeight="1">
      <c r="A1" s="379" t="s">
        <v>0</v>
      </c>
      <c r="B1" s="379"/>
      <c r="C1" s="379"/>
      <c r="D1" s="379"/>
      <c r="E1" s="379"/>
      <c r="F1" s="379"/>
    </row>
    <row r="2" spans="1:6" ht="18.75">
      <c r="A2" s="380" t="s">
        <v>33</v>
      </c>
      <c r="B2" s="380"/>
      <c r="C2" s="380"/>
      <c r="D2" s="380"/>
      <c r="E2" s="380"/>
      <c r="F2" s="380"/>
    </row>
    <row r="3" spans="1:6" ht="55.5" customHeight="1">
      <c r="A3" s="381" t="str">
        <f>[2]Drain!A3</f>
        <v>Name of Work :-Construction of RCC Slab in open Drain at Kokar,Khorhatoli from DON Bosco gate to Mission colony under ward no-07</v>
      </c>
      <c r="B3" s="381"/>
      <c r="C3" s="381"/>
      <c r="D3" s="381"/>
      <c r="E3" s="381"/>
      <c r="F3" s="381"/>
    </row>
    <row r="4" spans="1:6" ht="28.5">
      <c r="A4" s="24" t="s">
        <v>35</v>
      </c>
      <c r="B4" s="24" t="s">
        <v>36</v>
      </c>
      <c r="C4" s="24" t="s">
        <v>37</v>
      </c>
      <c r="D4" s="24" t="s">
        <v>5</v>
      </c>
      <c r="E4" s="294" t="s">
        <v>38</v>
      </c>
      <c r="F4" s="294" t="s">
        <v>39</v>
      </c>
    </row>
    <row r="5" spans="1:6" ht="30">
      <c r="A5" s="131">
        <f>[2]Drain!A5</f>
        <v>1</v>
      </c>
      <c r="B5" s="26" t="str">
        <f>[2]Drain!B5</f>
        <v>Providing labour for cleaning the site before and after the work.</v>
      </c>
      <c r="C5" s="134">
        <f>[2]Drain!G8</f>
        <v>10</v>
      </c>
      <c r="D5" s="25" t="str">
        <f>D12</f>
        <v>M3</v>
      </c>
      <c r="E5" s="295">
        <f>[2]Drain!I8</f>
        <v>326.85000000000002</v>
      </c>
      <c r="F5" s="295">
        <f>ROUND((C5*E5),2)</f>
        <v>3268.5</v>
      </c>
    </row>
    <row r="6" spans="1:6" ht="105">
      <c r="A6" s="131" t="str">
        <f>[2]Drain!A9</f>
        <v>2 5.3.11</v>
      </c>
      <c r="B6" s="26" t="str">
        <f>[2]Drain!B9</f>
        <v>Renforced cement conrete work in beams, suspended floors, having slopeup to 15' landing, balconies, shelves, chajjas, lintels, bands, plain windowsill ---------do----do-------E/I1:1.5:3 (1 Cement : 1.5 coarse sand zone(III): 3 graded stone aggregate 20mm nominal size)</v>
      </c>
      <c r="C6" s="134">
        <f>[2]Drain!G12</f>
        <v>50.98</v>
      </c>
      <c r="D6" s="25" t="str">
        <f>D5</f>
        <v>M3</v>
      </c>
      <c r="E6" s="295">
        <f>[2]Drain!I12</f>
        <v>6308.87</v>
      </c>
      <c r="F6" s="295">
        <f t="shared" ref="F6:F13" si="0">ROUND((C6*E6),2)</f>
        <v>321626.19</v>
      </c>
    </row>
    <row r="7" spans="1:6" ht="135">
      <c r="A7" s="131">
        <f>[2]Drain!A13</f>
        <v>3</v>
      </c>
      <c r="B7" s="26" t="str">
        <f>[2]Drain!B13</f>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
      <c r="C7" s="134"/>
      <c r="D7" s="25"/>
      <c r="E7" s="295"/>
      <c r="F7" s="295"/>
    </row>
    <row r="8" spans="1:6">
      <c r="A8" s="131" t="str">
        <f>[2]Drain!A18</f>
        <v>(A)5.5.4</v>
      </c>
      <c r="B8" s="26" t="str">
        <f>[2]Drain!B18</f>
        <v>08mm dia 40%</v>
      </c>
      <c r="C8" s="144">
        <f>[2]Drain!G18</f>
        <v>1.62</v>
      </c>
      <c r="D8" s="25" t="str">
        <f>[2]Drain!H18</f>
        <v>M.T.</v>
      </c>
      <c r="E8" s="295">
        <f>[2]Drain!I18</f>
        <v>83314.02</v>
      </c>
      <c r="F8" s="295">
        <f t="shared" si="0"/>
        <v>134968.71</v>
      </c>
    </row>
    <row r="9" spans="1:6" ht="30">
      <c r="A9" s="131" t="str">
        <f>[2]Drain!A19</f>
        <v>(B)5.5.5(a)</v>
      </c>
      <c r="B9" s="26" t="str">
        <f>[2]Drain!B19</f>
        <v>10mm dia 60%</v>
      </c>
      <c r="C9" s="144">
        <f>[2]Drain!G19</f>
        <v>2.4300000000000002</v>
      </c>
      <c r="D9" s="25" t="str">
        <f>D8</f>
        <v>M.T.</v>
      </c>
      <c r="E9" s="295">
        <f>[2]Drain!I19</f>
        <v>82096.539999999994</v>
      </c>
      <c r="F9" s="295">
        <f t="shared" si="0"/>
        <v>199494.59</v>
      </c>
    </row>
    <row r="10" spans="1:6" ht="60">
      <c r="A10" s="131" t="str">
        <f>[2]Drain!A21</f>
        <v>45.3.17.1</v>
      </c>
      <c r="B10" s="26" t="str">
        <f>[2]Drain!B21</f>
        <v>Centering and Shuttering including strutting, propping etc and removal of from for   Foundation , footing , bases of columns etc for mass concrete.</v>
      </c>
      <c r="C10" s="134">
        <f>[2]Drain!G24</f>
        <v>111.52</v>
      </c>
      <c r="D10" s="25" t="str">
        <f>[2]Drain!H24</f>
        <v>m2</v>
      </c>
      <c r="E10" s="295">
        <f>[2]Drain!I24</f>
        <v>194.5</v>
      </c>
      <c r="F10" s="295">
        <f t="shared" si="0"/>
        <v>21690.639999999999</v>
      </c>
    </row>
    <row r="11" spans="1:6">
      <c r="A11" s="27">
        <v>5</v>
      </c>
      <c r="B11" s="28" t="s">
        <v>175</v>
      </c>
      <c r="C11" s="29"/>
      <c r="D11" s="25"/>
      <c r="E11" s="295"/>
      <c r="F11" s="295"/>
    </row>
    <row r="12" spans="1:6">
      <c r="A12" s="160" t="s">
        <v>13</v>
      </c>
      <c r="B12" s="296" t="s">
        <v>342</v>
      </c>
      <c r="C12" s="134">
        <f>[2]Drain!G26</f>
        <v>21.92</v>
      </c>
      <c r="D12" s="25" t="s">
        <v>158</v>
      </c>
      <c r="E12" s="275">
        <f>[3]Sheet1!I26</f>
        <v>848.82</v>
      </c>
      <c r="F12" s="295">
        <f t="shared" si="0"/>
        <v>18606.13</v>
      </c>
    </row>
    <row r="13" spans="1:6">
      <c r="A13" s="160" t="s">
        <v>16</v>
      </c>
      <c r="B13" s="296" t="s">
        <v>21</v>
      </c>
      <c r="C13" s="134">
        <f>[2]Drain!G27</f>
        <v>43.84</v>
      </c>
      <c r="D13" s="25" t="s">
        <v>158</v>
      </c>
      <c r="E13" s="275">
        <f>[3]Sheet1!I29</f>
        <v>447.06</v>
      </c>
      <c r="F13" s="295">
        <f t="shared" si="0"/>
        <v>19599.11</v>
      </c>
    </row>
    <row r="14" spans="1:6" ht="18.75">
      <c r="A14" s="27"/>
      <c r="B14" s="28"/>
      <c r="C14" s="29"/>
      <c r="D14" s="25"/>
      <c r="E14" s="295" t="s">
        <v>59</v>
      </c>
      <c r="F14" s="106">
        <f>SUM(F5:F13)</f>
        <v>719253.87</v>
      </c>
    </row>
    <row r="15" spans="1:6" ht="18.75">
      <c r="A15" s="378" t="s">
        <v>348</v>
      </c>
      <c r="B15" s="378"/>
      <c r="C15" s="378"/>
      <c r="D15" s="378"/>
      <c r="E15" s="378"/>
      <c r="F15" s="106">
        <f>ROUND((F14*18%),2)</f>
        <v>129465.7</v>
      </c>
    </row>
    <row r="16" spans="1:6" ht="18.75">
      <c r="A16" s="378" t="s">
        <v>24</v>
      </c>
      <c r="B16" s="378" t="s">
        <v>24</v>
      </c>
      <c r="C16" s="378"/>
      <c r="D16" s="378"/>
      <c r="E16" s="378"/>
      <c r="F16" s="106">
        <f>F14+F15</f>
        <v>848719.57</v>
      </c>
    </row>
    <row r="17" spans="1:6" ht="18.75">
      <c r="A17" s="378" t="s">
        <v>349</v>
      </c>
      <c r="B17" s="378" t="s">
        <v>350</v>
      </c>
      <c r="C17" s="378"/>
      <c r="D17" s="378"/>
      <c r="E17" s="378"/>
      <c r="F17" s="106">
        <f>ROUND((F16*1%),2)</f>
        <v>8487.2000000000007</v>
      </c>
    </row>
    <row r="18" spans="1:6" ht="18.75">
      <c r="A18" s="378" t="s">
        <v>24</v>
      </c>
      <c r="B18" s="378" t="s">
        <v>24</v>
      </c>
      <c r="C18" s="378"/>
      <c r="D18" s="378"/>
      <c r="E18" s="378"/>
      <c r="F18" s="106">
        <f>F16+F17</f>
        <v>857206.7699999999</v>
      </c>
    </row>
    <row r="19" spans="1:6" ht="18.75">
      <c r="A19" s="378" t="s">
        <v>27</v>
      </c>
      <c r="B19" s="378" t="s">
        <v>27</v>
      </c>
      <c r="C19" s="378"/>
      <c r="D19" s="378"/>
      <c r="E19" s="378"/>
      <c r="F19" s="106">
        <f>ROUND((F18),0)</f>
        <v>857207</v>
      </c>
    </row>
  </sheetData>
  <mergeCells count="8">
    <mergeCell ref="A18:E18"/>
    <mergeCell ref="A19:E19"/>
    <mergeCell ref="A1:F1"/>
    <mergeCell ref="A2:F2"/>
    <mergeCell ref="A3:F3"/>
    <mergeCell ref="A15:E15"/>
    <mergeCell ref="A16:E16"/>
    <mergeCell ref="A17:E1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dimension ref="A1:F26"/>
  <sheetViews>
    <sheetView workbookViewId="0">
      <selection activeCell="A3" sqref="A3:F3"/>
    </sheetView>
  </sheetViews>
  <sheetFormatPr defaultColWidth="9.140625" defaultRowHeight="15"/>
  <cols>
    <col min="1" max="1" width="9.28515625" style="30" bestFit="1" customWidth="1"/>
    <col min="2" max="2" width="42.28515625" style="31" customWidth="1"/>
    <col min="3" max="3" width="9.140625" style="23" customWidth="1"/>
    <col min="4" max="4" width="9.140625" style="32"/>
    <col min="5" max="5" width="11.28515625" style="297" bestFit="1" customWidth="1"/>
    <col min="6" max="6" width="18.5703125" style="297" bestFit="1" customWidth="1"/>
    <col min="7" max="16384" width="9.140625" style="23"/>
  </cols>
  <sheetData>
    <row r="1" spans="1:6" ht="60.75" customHeight="1">
      <c r="A1" s="379" t="s">
        <v>0</v>
      </c>
      <c r="B1" s="379"/>
      <c r="C1" s="379"/>
      <c r="D1" s="379"/>
      <c r="E1" s="379"/>
      <c r="F1" s="379"/>
    </row>
    <row r="2" spans="1:6" ht="18.75">
      <c r="A2" s="380" t="s">
        <v>33</v>
      </c>
      <c r="B2" s="380"/>
      <c r="C2" s="380"/>
      <c r="D2" s="380"/>
      <c r="E2" s="380"/>
      <c r="F2" s="380"/>
    </row>
    <row r="3" spans="1:6" ht="55.5" customHeight="1">
      <c r="A3" s="381" t="str">
        <f>[4]Drain!A3</f>
        <v>Name of Work :-Construction of RCC Drain at Tiril Sarnatoli,Mahabir Nagar Boli Kotcha from Sadhu Sharan Mahto house to Sakuntala Devi house under ward no-08</v>
      </c>
      <c r="B3" s="381"/>
      <c r="C3" s="381"/>
      <c r="D3" s="381"/>
      <c r="E3" s="381"/>
      <c r="F3" s="381"/>
    </row>
    <row r="4" spans="1:6">
      <c r="A4" s="24" t="s">
        <v>35</v>
      </c>
      <c r="B4" s="24" t="s">
        <v>36</v>
      </c>
      <c r="C4" s="24" t="s">
        <v>37</v>
      </c>
      <c r="D4" s="24" t="s">
        <v>5</v>
      </c>
      <c r="E4" s="294" t="s">
        <v>38</v>
      </c>
      <c r="F4" s="294" t="s">
        <v>39</v>
      </c>
    </row>
    <row r="5" spans="1:6" ht="75">
      <c r="A5" s="131" t="str">
        <f>[4]Drain!A5</f>
        <v>1            5.10.2</v>
      </c>
      <c r="B5" s="26" t="str">
        <f>[4]Drain!B5</f>
        <v xml:space="preserve">Dismantling plain cement or lime concrete work including stacking serviceable materials in countable stacks within 15M.lead and disposal of unserviceable materials with all leads complete  as per direction of E/I.              </v>
      </c>
      <c r="C5" s="134">
        <f>[4]Drain!G8</f>
        <v>1.42</v>
      </c>
      <c r="D5" s="25" t="str">
        <f>D7</f>
        <v>M3</v>
      </c>
      <c r="E5" s="295">
        <f>[4]Drain!I8</f>
        <v>955.89</v>
      </c>
      <c r="F5" s="295">
        <f>ROUND((C5*E5),2)</f>
        <v>1357.36</v>
      </c>
    </row>
    <row r="6" spans="1:6" ht="120">
      <c r="A6" s="131" t="str">
        <f>[4]Drain!A9</f>
        <v>2            5.1.1</v>
      </c>
      <c r="B6" s="26" t="str">
        <f>[4]Drain!B9</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6" s="134">
        <f>[4]Drain!G13</f>
        <v>57.26</v>
      </c>
      <c r="D6" s="25" t="str">
        <f>D7</f>
        <v>M3</v>
      </c>
      <c r="E6" s="295">
        <f>[4]Drain!I13</f>
        <v>151.82</v>
      </c>
      <c r="F6" s="295">
        <f>ROUND((C6*E6),2)</f>
        <v>8693.2099999999991</v>
      </c>
    </row>
    <row r="7" spans="1:6" ht="120">
      <c r="A7" s="131" t="str">
        <f>[4]Drain!A14</f>
        <v>34/M004</v>
      </c>
      <c r="B7" s="26" t="str">
        <f>[3]Sheet1!B9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7" s="134">
        <f>[4]Drain!G18</f>
        <v>3.55</v>
      </c>
      <c r="D7" s="25" t="s">
        <v>158</v>
      </c>
      <c r="E7" s="295">
        <f>[3]Sheet1!I12</f>
        <v>347.85</v>
      </c>
      <c r="F7" s="295">
        <f t="shared" ref="F7:F20" si="0">ROUND((C7*E7),2)</f>
        <v>1234.8699999999999</v>
      </c>
    </row>
    <row r="8" spans="1:6" ht="90">
      <c r="A8" s="131" t="str">
        <f>[4]Drain!A19</f>
        <v>45.6.8</v>
      </c>
      <c r="B8" s="26" t="str">
        <f>[3]Sheet1!B13</f>
        <v>Supplying and laying (properly as per design and drawing) rip-rap with good  quality of boulders duly packed including the cost of materials, royalty all taxes etc. but excluding the cost of carriage all complete as per specification and direction of E/I.</v>
      </c>
      <c r="C8" s="134">
        <f>[4]Drain!G23</f>
        <v>9.09</v>
      </c>
      <c r="D8" s="25" t="s">
        <v>158</v>
      </c>
      <c r="E8" s="295">
        <f>[3]Sheet1!I16</f>
        <v>1756.4</v>
      </c>
      <c r="F8" s="295">
        <f t="shared" si="0"/>
        <v>15965.68</v>
      </c>
    </row>
    <row r="9" spans="1:6" ht="90">
      <c r="A9" s="131" t="str">
        <f>[4]Drain!A24</f>
        <v>55.3.10</v>
      </c>
      <c r="B9" s="26" t="str">
        <f>[3]Sheet1!B17</f>
        <v>Providing and laying in position cement concrete of specified grade excluding the cost of centering and shuttering - All work up to plinth level1:1.5:3 (1 Cement : 1.5 coarse sand zone(III): 3 graded stone aggregate 20mm nominal size)</v>
      </c>
      <c r="C9" s="134">
        <f>[4]Drain!G30</f>
        <v>24.09</v>
      </c>
      <c r="D9" s="25" t="s">
        <v>158</v>
      </c>
      <c r="E9" s="295">
        <f>[4]Drain!I30</f>
        <v>6082.45</v>
      </c>
      <c r="F9" s="295">
        <f t="shared" si="0"/>
        <v>146526.22</v>
      </c>
    </row>
    <row r="10" spans="1:6" ht="105">
      <c r="A10" s="131" t="str">
        <f>[4]Drain!A31</f>
        <v>6 5.3.11</v>
      </c>
      <c r="B10" s="26" t="str">
        <f>[4]Drain!B31</f>
        <v>Renforced cement conrete work in beams, suspended floors, having slopeup to 15' landing, balconies, shelves, chajjas, lintels, bands, plain windowsill ---------do----do-------E/I1:1.5:3 (1 Cement : 1.5 coarse sand zone(III): 3 graded stone aggregate 20mm nominal size)</v>
      </c>
      <c r="C10" s="134">
        <f>[4]Drain!G35</f>
        <v>11.28</v>
      </c>
      <c r="D10" s="25" t="str">
        <f>D9</f>
        <v>M3</v>
      </c>
      <c r="E10" s="295">
        <f>[4]Drain!I35</f>
        <v>6308.87</v>
      </c>
      <c r="F10" s="295">
        <f t="shared" si="0"/>
        <v>71164.05</v>
      </c>
    </row>
    <row r="11" spans="1:6" ht="135">
      <c r="A11" s="131">
        <f>[4]Drain!A36</f>
        <v>7</v>
      </c>
      <c r="B11" s="26" t="str">
        <f>[4]Drain!B36</f>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
      <c r="C11" s="134"/>
      <c r="D11" s="25"/>
      <c r="E11" s="295"/>
      <c r="F11" s="295"/>
    </row>
    <row r="12" spans="1:6">
      <c r="A12" s="131" t="str">
        <f>[4]Drain!A41</f>
        <v>(A)5.5.4</v>
      </c>
      <c r="B12" s="26" t="str">
        <f>[4]Drain!B41</f>
        <v>08mm dia 40%</v>
      </c>
      <c r="C12" s="144">
        <f>[4]Drain!G41</f>
        <v>1.1240000000000001</v>
      </c>
      <c r="D12" s="25" t="str">
        <f>[4]Drain!H41</f>
        <v>M.T.</v>
      </c>
      <c r="E12" s="295">
        <f>[4]Drain!I41</f>
        <v>83314.02</v>
      </c>
      <c r="F12" s="295">
        <f t="shared" si="0"/>
        <v>93644.96</v>
      </c>
    </row>
    <row r="13" spans="1:6" ht="30">
      <c r="A13" s="131" t="str">
        <f>[4]Drain!A42</f>
        <v>(B)5.5.5(a)</v>
      </c>
      <c r="B13" s="26" t="str">
        <f>[4]Drain!B42</f>
        <v>10mm dia 60%</v>
      </c>
      <c r="C13" s="144">
        <f>[4]Drain!G42</f>
        <v>1.6859999999999999</v>
      </c>
      <c r="D13" s="25" t="str">
        <f>D12</f>
        <v>M.T.</v>
      </c>
      <c r="E13" s="295">
        <f>[4]Drain!I42</f>
        <v>82096.539999999994</v>
      </c>
      <c r="F13" s="295">
        <f t="shared" si="0"/>
        <v>138414.76999999999</v>
      </c>
    </row>
    <row r="14" spans="1:6" ht="60">
      <c r="A14" s="131" t="str">
        <f>[4]Drain!A44</f>
        <v>85.3.17.1</v>
      </c>
      <c r="B14" s="26" t="str">
        <f>[4]Drain!B44</f>
        <v>Centering and Shuttering including strutting, propping etc and removal of from for   Foundation , footing , bases of columns etc for mass concrete.</v>
      </c>
      <c r="C14" s="134">
        <f>[4]Drain!G50</f>
        <v>250.94</v>
      </c>
      <c r="D14" s="25" t="str">
        <f>[4]Drain!H50</f>
        <v>m2</v>
      </c>
      <c r="E14" s="295">
        <f>[4]Drain!I50</f>
        <v>194.5</v>
      </c>
      <c r="F14" s="295">
        <f t="shared" si="0"/>
        <v>48807.83</v>
      </c>
    </row>
    <row r="15" spans="1:6">
      <c r="A15" s="27">
        <v>6</v>
      </c>
      <c r="B15" s="28" t="s">
        <v>175</v>
      </c>
      <c r="C15" s="29"/>
      <c r="D15" s="25"/>
      <c r="E15" s="295"/>
      <c r="F15" s="295"/>
    </row>
    <row r="16" spans="1:6">
      <c r="A16" s="160" t="s">
        <v>13</v>
      </c>
      <c r="B16" s="296" t="s">
        <v>342</v>
      </c>
      <c r="C16" s="134">
        <f>[4]Drain!G52</f>
        <v>15.209999999999999</v>
      </c>
      <c r="D16" s="25" t="s">
        <v>158</v>
      </c>
      <c r="E16" s="275">
        <f>[3]Sheet1!I26</f>
        <v>848.82</v>
      </c>
      <c r="F16" s="295">
        <f t="shared" si="0"/>
        <v>12910.55</v>
      </c>
    </row>
    <row r="17" spans="1:6">
      <c r="A17" s="160" t="s">
        <v>16</v>
      </c>
      <c r="B17" s="296" t="str">
        <f>[4]Drain!B53</f>
        <v>Stone Dust (Lead 22 KM)</v>
      </c>
      <c r="C17" s="134">
        <f>[4]Drain!G53</f>
        <v>3.55</v>
      </c>
      <c r="D17" s="25" t="s">
        <v>158</v>
      </c>
      <c r="E17" s="275">
        <f>[3]Sheet1!I27</f>
        <v>447.06</v>
      </c>
      <c r="F17" s="295">
        <f t="shared" si="0"/>
        <v>1587.06</v>
      </c>
    </row>
    <row r="18" spans="1:6">
      <c r="A18" s="160" t="s">
        <v>18</v>
      </c>
      <c r="B18" s="296" t="s">
        <v>19</v>
      </c>
      <c r="C18" s="134">
        <f>[4]Drain!G54</f>
        <v>9.09</v>
      </c>
      <c r="D18" s="25" t="s">
        <v>158</v>
      </c>
      <c r="E18" s="275">
        <f>[3]Sheet1!I28</f>
        <v>679.66</v>
      </c>
      <c r="F18" s="295">
        <f t="shared" si="0"/>
        <v>6178.11</v>
      </c>
    </row>
    <row r="19" spans="1:6">
      <c r="A19" s="160" t="s">
        <v>20</v>
      </c>
      <c r="B19" s="296" t="s">
        <v>21</v>
      </c>
      <c r="C19" s="134">
        <f>[4]Drain!G55</f>
        <v>30.419999999999998</v>
      </c>
      <c r="D19" s="25" t="s">
        <v>158</v>
      </c>
      <c r="E19" s="275">
        <f>[3]Sheet1!I29</f>
        <v>447.06</v>
      </c>
      <c r="F19" s="295">
        <f t="shared" si="0"/>
        <v>13599.57</v>
      </c>
    </row>
    <row r="20" spans="1:6">
      <c r="A20" s="160" t="s">
        <v>22</v>
      </c>
      <c r="B20" s="296" t="s">
        <v>23</v>
      </c>
      <c r="C20" s="134">
        <f>[4]Drain!G56</f>
        <v>57.26</v>
      </c>
      <c r="D20" s="25" t="s">
        <v>158</v>
      </c>
      <c r="E20" s="275">
        <f>[3]Sheet1!I30</f>
        <v>117.54</v>
      </c>
      <c r="F20" s="295">
        <f t="shared" si="0"/>
        <v>6730.34</v>
      </c>
    </row>
    <row r="21" spans="1:6" ht="18.75">
      <c r="A21" s="27"/>
      <c r="B21" s="28"/>
      <c r="C21" s="29"/>
      <c r="D21" s="25"/>
      <c r="E21" s="295" t="s">
        <v>59</v>
      </c>
      <c r="F21" s="106">
        <f>SUM(F5:F20)</f>
        <v>566814.57999999996</v>
      </c>
    </row>
    <row r="22" spans="1:6" ht="18.75">
      <c r="A22" s="378" t="s">
        <v>348</v>
      </c>
      <c r="B22" s="378"/>
      <c r="C22" s="378"/>
      <c r="D22" s="378"/>
      <c r="E22" s="378"/>
      <c r="F22" s="106">
        <f>ROUND((F21*18%),2)</f>
        <v>102026.62</v>
      </c>
    </row>
    <row r="23" spans="1:6" ht="18.75">
      <c r="A23" s="378" t="s">
        <v>24</v>
      </c>
      <c r="B23" s="378" t="s">
        <v>24</v>
      </c>
      <c r="C23" s="378"/>
      <c r="D23" s="378"/>
      <c r="E23" s="378"/>
      <c r="F23" s="106">
        <f>F21+F22</f>
        <v>668841.19999999995</v>
      </c>
    </row>
    <row r="24" spans="1:6" ht="18.75">
      <c r="A24" s="378" t="s">
        <v>349</v>
      </c>
      <c r="B24" s="378" t="s">
        <v>350</v>
      </c>
      <c r="C24" s="378"/>
      <c r="D24" s="378"/>
      <c r="E24" s="378"/>
      <c r="F24" s="106">
        <f>ROUND((F23*1%),2)</f>
        <v>6688.41</v>
      </c>
    </row>
    <row r="25" spans="1:6" ht="18.75">
      <c r="A25" s="378" t="s">
        <v>24</v>
      </c>
      <c r="B25" s="378" t="s">
        <v>24</v>
      </c>
      <c r="C25" s="378"/>
      <c r="D25" s="378"/>
      <c r="E25" s="378"/>
      <c r="F25" s="106">
        <f>F23+F24</f>
        <v>675529.61</v>
      </c>
    </row>
    <row r="26" spans="1:6" ht="18.75">
      <c r="A26" s="378" t="s">
        <v>27</v>
      </c>
      <c r="B26" s="378" t="s">
        <v>27</v>
      </c>
      <c r="C26" s="378"/>
      <c r="D26" s="378"/>
      <c r="E26" s="378"/>
      <c r="F26" s="106">
        <f>ROUND((F25),0)</f>
        <v>675530</v>
      </c>
    </row>
  </sheetData>
  <mergeCells count="8">
    <mergeCell ref="A25:E25"/>
    <mergeCell ref="A26:E26"/>
    <mergeCell ref="A1:F1"/>
    <mergeCell ref="A2:F2"/>
    <mergeCell ref="A3:F3"/>
    <mergeCell ref="A22:E22"/>
    <mergeCell ref="A23:E23"/>
    <mergeCell ref="A24:E2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dimension ref="A1:F26"/>
  <sheetViews>
    <sheetView workbookViewId="0">
      <selection activeCell="A3" sqref="A3:F3"/>
    </sheetView>
  </sheetViews>
  <sheetFormatPr defaultColWidth="9.140625" defaultRowHeight="15"/>
  <cols>
    <col min="1" max="1" width="9.28515625" style="30" bestFit="1" customWidth="1"/>
    <col min="2" max="2" width="42.28515625" style="31" customWidth="1"/>
    <col min="3" max="3" width="9.140625" style="23" customWidth="1"/>
    <col min="4" max="4" width="9.140625" style="32"/>
    <col min="5" max="5" width="11.28515625" style="297" bestFit="1" customWidth="1"/>
    <col min="6" max="6" width="18.5703125" style="297" bestFit="1" customWidth="1"/>
    <col min="7" max="16384" width="9.140625" style="23"/>
  </cols>
  <sheetData>
    <row r="1" spans="1:6" ht="60.75" customHeight="1">
      <c r="A1" s="379" t="s">
        <v>0</v>
      </c>
      <c r="B1" s="379"/>
      <c r="C1" s="379"/>
      <c r="D1" s="379"/>
      <c r="E1" s="379"/>
      <c r="F1" s="379"/>
    </row>
    <row r="2" spans="1:6" ht="18.75">
      <c r="A2" s="380" t="s">
        <v>33</v>
      </c>
      <c r="B2" s="380"/>
      <c r="C2" s="380"/>
      <c r="D2" s="380"/>
      <c r="E2" s="380"/>
      <c r="F2" s="380"/>
    </row>
    <row r="3" spans="1:6" ht="55.5" customHeight="1">
      <c r="A3" s="381" t="str">
        <f>[5]Drain!A3</f>
        <v>Name of Work :-Construction of RCC Drain at Adarsh nagar from house of Suresh Singh to house of Baijnath Paswan under ward no-08</v>
      </c>
      <c r="B3" s="381"/>
      <c r="C3" s="381"/>
      <c r="D3" s="381"/>
      <c r="E3" s="381"/>
      <c r="F3" s="381"/>
    </row>
    <row r="4" spans="1:6">
      <c r="A4" s="24" t="s">
        <v>35</v>
      </c>
      <c r="B4" s="24" t="s">
        <v>36</v>
      </c>
      <c r="C4" s="24" t="s">
        <v>37</v>
      </c>
      <c r="D4" s="24" t="s">
        <v>5</v>
      </c>
      <c r="E4" s="294" t="s">
        <v>38</v>
      </c>
      <c r="F4" s="294" t="s">
        <v>39</v>
      </c>
    </row>
    <row r="5" spans="1:6" ht="75">
      <c r="A5" s="131" t="str">
        <f>[5]Drain!A5</f>
        <v>1            5.10.2</v>
      </c>
      <c r="B5" s="26" t="str">
        <f>[5]Drain!B5</f>
        <v xml:space="preserve">Dismantling plain cement or lime concrete work including stacking serviceable materials in countable stacks within 15M.lead and disposal of unserviceable materials with all leads complete  as per direction of E/I.              </v>
      </c>
      <c r="C5" s="134">
        <f>[5]Drain!G8</f>
        <v>0.6</v>
      </c>
      <c r="D5" s="25" t="str">
        <f>D7</f>
        <v>M3</v>
      </c>
      <c r="E5" s="295">
        <f>[5]Drain!I8</f>
        <v>955.89</v>
      </c>
      <c r="F5" s="295">
        <f>ROUND((C5*E5),2)</f>
        <v>573.53</v>
      </c>
    </row>
    <row r="6" spans="1:6" ht="120">
      <c r="A6" s="131" t="str">
        <f>[5]Drain!A9</f>
        <v>2            5.1.1</v>
      </c>
      <c r="B6" s="26" t="str">
        <f>[5]Drain!B9</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6" s="134">
        <f>[5]Drain!G13</f>
        <v>23.04</v>
      </c>
      <c r="D6" s="25" t="str">
        <f>D7</f>
        <v>M3</v>
      </c>
      <c r="E6" s="295">
        <f>[5]Drain!I13</f>
        <v>151.82</v>
      </c>
      <c r="F6" s="295">
        <f>ROUND((C6*E6),2)</f>
        <v>3497.93</v>
      </c>
    </row>
    <row r="7" spans="1:6" ht="120">
      <c r="A7" s="131" t="str">
        <f>[5]Drain!A14</f>
        <v>34/M004</v>
      </c>
      <c r="B7" s="26" t="str">
        <f>[3]Sheet1!B9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7" s="134">
        <f>[5]Drain!G18</f>
        <v>1.43</v>
      </c>
      <c r="D7" s="25" t="s">
        <v>158</v>
      </c>
      <c r="E7" s="295">
        <f>[3]Sheet1!I12</f>
        <v>347.85</v>
      </c>
      <c r="F7" s="295">
        <f t="shared" ref="F7:F20" si="0">ROUND((C7*E7),2)</f>
        <v>497.43</v>
      </c>
    </row>
    <row r="8" spans="1:6" ht="90">
      <c r="A8" s="131" t="str">
        <f>[5]Drain!A19</f>
        <v>45.6.8</v>
      </c>
      <c r="B8" s="26" t="str">
        <f>[3]Sheet1!B13</f>
        <v>Supplying and laying (properly as per design and drawing) rip-rap with good  quality of boulders duly packed including the cost of materials, royalty all taxes etc. but excluding the cost of carriage all complete as per specification and direction of E/I.</v>
      </c>
      <c r="C8" s="134">
        <f>[5]Drain!G23</f>
        <v>3.68</v>
      </c>
      <c r="D8" s="25" t="s">
        <v>158</v>
      </c>
      <c r="E8" s="295">
        <f>[3]Sheet1!I16</f>
        <v>1756.4</v>
      </c>
      <c r="F8" s="295">
        <f t="shared" si="0"/>
        <v>6463.55</v>
      </c>
    </row>
    <row r="9" spans="1:6" ht="90">
      <c r="A9" s="131" t="str">
        <f>[5]Drain!A24</f>
        <v>55.3.10</v>
      </c>
      <c r="B9" s="26" t="str">
        <f>[3]Sheet1!B17</f>
        <v>Providing and laying in position cement concrete of specified grade excluding the cost of centering and shuttering - All work up to plinth level1:1.5:3 (1 Cement : 1.5 coarse sand zone(III): 3 graded stone aggregate 20mm nominal size)</v>
      </c>
      <c r="C9" s="134">
        <f>[5]Drain!G30</f>
        <v>9.89</v>
      </c>
      <c r="D9" s="25" t="s">
        <v>158</v>
      </c>
      <c r="E9" s="295">
        <f>[5]Drain!I30</f>
        <v>6082.45</v>
      </c>
      <c r="F9" s="295">
        <f t="shared" si="0"/>
        <v>60155.43</v>
      </c>
    </row>
    <row r="10" spans="1:6" ht="105">
      <c r="A10" s="131" t="str">
        <f>[5]Drain!A31</f>
        <v>6 5.3.11</v>
      </c>
      <c r="B10" s="26" t="str">
        <f>[5]Drain!B31</f>
        <v>Renforced cement conrete work in beams, suspended floors, having slopeup to 15' landing, balconies, shelves, chajjas, lintels, bands, plain windowsill ---------do----do-------E/I1:1.5:3 (1 Cement : 1.5 coarse sand zone(III): 3 graded stone aggregate 20mm nominal size)</v>
      </c>
      <c r="C10" s="134">
        <f>[5]Drain!G35</f>
        <v>4.76</v>
      </c>
      <c r="D10" s="25" t="str">
        <f>D9</f>
        <v>M3</v>
      </c>
      <c r="E10" s="295">
        <f>[5]Drain!I35</f>
        <v>6308.87</v>
      </c>
      <c r="F10" s="295">
        <f t="shared" si="0"/>
        <v>30030.22</v>
      </c>
    </row>
    <row r="11" spans="1:6" ht="135">
      <c r="A11" s="131">
        <f>[5]Drain!A36</f>
        <v>7</v>
      </c>
      <c r="B11" s="26" t="str">
        <f>[5]Drain!B36</f>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
      <c r="C11" s="134"/>
      <c r="D11" s="25"/>
      <c r="E11" s="295"/>
      <c r="F11" s="295"/>
    </row>
    <row r="12" spans="1:6">
      <c r="A12" s="131" t="str">
        <f>[5]Drain!A41</f>
        <v>(A)5.5.4</v>
      </c>
      <c r="B12" s="26" t="str">
        <f>[5]Drain!B41</f>
        <v>08mm dia 40%</v>
      </c>
      <c r="C12" s="144">
        <f>[5]Drain!G41</f>
        <v>0.46600000000000003</v>
      </c>
      <c r="D12" s="25" t="str">
        <f>[5]Drain!H41</f>
        <v>M.T.</v>
      </c>
      <c r="E12" s="295">
        <f>[5]Drain!I41</f>
        <v>83314.02</v>
      </c>
      <c r="F12" s="295">
        <f t="shared" si="0"/>
        <v>38824.33</v>
      </c>
    </row>
    <row r="13" spans="1:6" ht="30">
      <c r="A13" s="131" t="str">
        <f>[5]Drain!A42</f>
        <v>(B)5.5.5(a)</v>
      </c>
      <c r="B13" s="26" t="str">
        <f>[5]Drain!B42</f>
        <v>10mm dia 60%</v>
      </c>
      <c r="C13" s="144">
        <f>[5]Drain!G42</f>
        <v>0.69799999999999995</v>
      </c>
      <c r="D13" s="25" t="str">
        <f>D12</f>
        <v>M.T.</v>
      </c>
      <c r="E13" s="295">
        <f>[5]Drain!I42</f>
        <v>82096.539999999994</v>
      </c>
      <c r="F13" s="295">
        <f t="shared" si="0"/>
        <v>57303.38</v>
      </c>
    </row>
    <row r="14" spans="1:6" ht="60">
      <c r="A14" s="131" t="str">
        <f>[5]Drain!A44</f>
        <v>85.3.17.1</v>
      </c>
      <c r="B14" s="26" t="str">
        <f>[5]Drain!B44</f>
        <v>Centering and Shuttering including strutting, propping etc and removal of from for   Foundation , footing , bases of columns etc for mass concrete.</v>
      </c>
      <c r="C14" s="134">
        <f>[5]Drain!G50</f>
        <v>98.22</v>
      </c>
      <c r="D14" s="25" t="str">
        <f>[5]Drain!H50</f>
        <v>m2</v>
      </c>
      <c r="E14" s="295">
        <f>[5]Drain!I50</f>
        <v>194.5</v>
      </c>
      <c r="F14" s="295">
        <f t="shared" si="0"/>
        <v>19103.79</v>
      </c>
    </row>
    <row r="15" spans="1:6">
      <c r="A15" s="27">
        <v>6</v>
      </c>
      <c r="B15" s="28" t="s">
        <v>175</v>
      </c>
      <c r="C15" s="29"/>
      <c r="D15" s="25"/>
      <c r="E15" s="295"/>
      <c r="F15" s="295"/>
    </row>
    <row r="16" spans="1:6">
      <c r="A16" s="160" t="s">
        <v>13</v>
      </c>
      <c r="B16" s="296" t="s">
        <v>342</v>
      </c>
      <c r="C16" s="134">
        <f>[5]Drain!G52</f>
        <v>6.3</v>
      </c>
      <c r="D16" s="25" t="s">
        <v>158</v>
      </c>
      <c r="E16" s="275">
        <f>[3]Sheet1!I26</f>
        <v>848.82</v>
      </c>
      <c r="F16" s="295">
        <f t="shared" si="0"/>
        <v>5347.57</v>
      </c>
    </row>
    <row r="17" spans="1:6">
      <c r="A17" s="160" t="s">
        <v>16</v>
      </c>
      <c r="B17" s="296" t="str">
        <f>[5]Drain!B53</f>
        <v>Stone Dust (Lead 22 KM)</v>
      </c>
      <c r="C17" s="134">
        <f>[5]Drain!G53</f>
        <v>1.43</v>
      </c>
      <c r="D17" s="25" t="s">
        <v>158</v>
      </c>
      <c r="E17" s="275">
        <f>[3]Sheet1!I27</f>
        <v>447.06</v>
      </c>
      <c r="F17" s="295">
        <f t="shared" si="0"/>
        <v>639.29999999999995</v>
      </c>
    </row>
    <row r="18" spans="1:6">
      <c r="A18" s="160" t="s">
        <v>18</v>
      </c>
      <c r="B18" s="296" t="s">
        <v>19</v>
      </c>
      <c r="C18" s="134">
        <f>[5]Drain!G54</f>
        <v>3.68</v>
      </c>
      <c r="D18" s="25" t="s">
        <v>158</v>
      </c>
      <c r="E18" s="275">
        <f>[3]Sheet1!I28</f>
        <v>679.66</v>
      </c>
      <c r="F18" s="295">
        <f t="shared" si="0"/>
        <v>2501.15</v>
      </c>
    </row>
    <row r="19" spans="1:6">
      <c r="A19" s="160" t="s">
        <v>20</v>
      </c>
      <c r="B19" s="296" t="s">
        <v>21</v>
      </c>
      <c r="C19" s="134">
        <f>[5]Drain!G55</f>
        <v>12.6</v>
      </c>
      <c r="D19" s="25" t="s">
        <v>158</v>
      </c>
      <c r="E19" s="275">
        <f>[3]Sheet1!I29</f>
        <v>447.06</v>
      </c>
      <c r="F19" s="295">
        <f t="shared" si="0"/>
        <v>5632.96</v>
      </c>
    </row>
    <row r="20" spans="1:6">
      <c r="A20" s="160" t="s">
        <v>22</v>
      </c>
      <c r="B20" s="296" t="s">
        <v>23</v>
      </c>
      <c r="C20" s="134">
        <f>[5]Drain!G56</f>
        <v>23.04</v>
      </c>
      <c r="D20" s="25" t="s">
        <v>158</v>
      </c>
      <c r="E20" s="275">
        <f>[3]Sheet1!I30</f>
        <v>117.54</v>
      </c>
      <c r="F20" s="295">
        <f t="shared" si="0"/>
        <v>2708.12</v>
      </c>
    </row>
    <row r="21" spans="1:6" ht="18.75">
      <c r="A21" s="27"/>
      <c r="B21" s="28"/>
      <c r="C21" s="29"/>
      <c r="D21" s="25"/>
      <c r="E21" s="295" t="s">
        <v>59</v>
      </c>
      <c r="F21" s="106">
        <f>SUM(F5:F20)</f>
        <v>233278.68999999997</v>
      </c>
    </row>
    <row r="22" spans="1:6" ht="18.75">
      <c r="A22" s="378" t="s">
        <v>348</v>
      </c>
      <c r="B22" s="378"/>
      <c r="C22" s="378"/>
      <c r="D22" s="378"/>
      <c r="E22" s="378"/>
      <c r="F22" s="106">
        <f>ROUND((F21*18%),2)</f>
        <v>41990.16</v>
      </c>
    </row>
    <row r="23" spans="1:6" ht="18.75">
      <c r="A23" s="378" t="s">
        <v>24</v>
      </c>
      <c r="B23" s="378" t="s">
        <v>24</v>
      </c>
      <c r="C23" s="378"/>
      <c r="D23" s="378"/>
      <c r="E23" s="378"/>
      <c r="F23" s="106">
        <f>F21+F22</f>
        <v>275268.84999999998</v>
      </c>
    </row>
    <row r="24" spans="1:6" ht="18.75">
      <c r="A24" s="378" t="s">
        <v>349</v>
      </c>
      <c r="B24" s="378" t="s">
        <v>350</v>
      </c>
      <c r="C24" s="378"/>
      <c r="D24" s="378"/>
      <c r="E24" s="378"/>
      <c r="F24" s="106">
        <f>ROUND((F23*1%),2)</f>
        <v>2752.69</v>
      </c>
    </row>
    <row r="25" spans="1:6" ht="18.75">
      <c r="A25" s="378" t="s">
        <v>24</v>
      </c>
      <c r="B25" s="378" t="s">
        <v>24</v>
      </c>
      <c r="C25" s="378"/>
      <c r="D25" s="378"/>
      <c r="E25" s="378"/>
      <c r="F25" s="106">
        <f>F23+F24</f>
        <v>278021.53999999998</v>
      </c>
    </row>
    <row r="26" spans="1:6" ht="18.75">
      <c r="A26" s="378" t="s">
        <v>27</v>
      </c>
      <c r="B26" s="378" t="s">
        <v>27</v>
      </c>
      <c r="C26" s="378"/>
      <c r="D26" s="378"/>
      <c r="E26" s="378"/>
      <c r="F26" s="106">
        <f>ROUND((F25),0)</f>
        <v>278022</v>
      </c>
    </row>
  </sheetData>
  <mergeCells count="8">
    <mergeCell ref="A25:E25"/>
    <mergeCell ref="A26:E26"/>
    <mergeCell ref="A1:F1"/>
    <mergeCell ref="A2:F2"/>
    <mergeCell ref="A3:F3"/>
    <mergeCell ref="A22:E22"/>
    <mergeCell ref="A23:E23"/>
    <mergeCell ref="A24:E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dimension ref="A1:F25"/>
  <sheetViews>
    <sheetView workbookViewId="0">
      <selection activeCell="A3" sqref="A3:F3"/>
    </sheetView>
  </sheetViews>
  <sheetFormatPr defaultRowHeight="15"/>
  <cols>
    <col min="1" max="1" width="9.140625" style="30"/>
    <col min="2" max="2" width="42.28515625" style="31" customWidth="1"/>
    <col min="3" max="3" width="9.5703125" style="23" bestFit="1" customWidth="1"/>
    <col min="4" max="4" width="9.140625" style="32"/>
    <col min="5" max="5" width="9.140625" style="23"/>
    <col min="6" max="6" width="19.42578125" style="33" customWidth="1"/>
    <col min="7" max="16384" width="9.140625" style="23"/>
  </cols>
  <sheetData>
    <row r="1" spans="1:6" ht="18.75">
      <c r="A1" s="380" t="s">
        <v>0</v>
      </c>
      <c r="B1" s="380"/>
      <c r="C1" s="380"/>
      <c r="D1" s="380"/>
      <c r="E1" s="380"/>
      <c r="F1" s="380"/>
    </row>
    <row r="2" spans="1:6" ht="18.75">
      <c r="A2" s="380" t="s">
        <v>33</v>
      </c>
      <c r="B2" s="380"/>
      <c r="C2" s="380"/>
      <c r="D2" s="380"/>
      <c r="E2" s="380"/>
      <c r="F2" s="380"/>
    </row>
    <row r="3" spans="1:6" ht="57.75" customHeight="1">
      <c r="A3" s="381" t="s">
        <v>152</v>
      </c>
      <c r="B3" s="381"/>
      <c r="C3" s="381"/>
      <c r="D3" s="381"/>
      <c r="E3" s="381"/>
      <c r="F3" s="381"/>
    </row>
    <row r="4" spans="1:6">
      <c r="A4" s="24" t="s">
        <v>35</v>
      </c>
      <c r="B4" s="24" t="s">
        <v>36</v>
      </c>
      <c r="C4" s="24" t="s">
        <v>37</v>
      </c>
      <c r="D4" s="24" t="s">
        <v>5</v>
      </c>
      <c r="E4" s="24" t="s">
        <v>38</v>
      </c>
      <c r="F4" s="24" t="s">
        <v>39</v>
      </c>
    </row>
    <row r="5" spans="1:6" ht="30">
      <c r="A5" s="131" t="s">
        <v>153</v>
      </c>
      <c r="B5" s="26" t="s">
        <v>154</v>
      </c>
      <c r="C5" s="134">
        <v>10</v>
      </c>
      <c r="D5" s="25" t="s">
        <v>155</v>
      </c>
      <c r="E5" s="134">
        <v>326.85000000000002</v>
      </c>
      <c r="F5" s="134">
        <f>C5*E5</f>
        <v>3268.5</v>
      </c>
    </row>
    <row r="6" spans="1:6" ht="120">
      <c r="A6" s="135" t="s">
        <v>156</v>
      </c>
      <c r="B6" s="26" t="s">
        <v>157</v>
      </c>
      <c r="C6" s="134">
        <v>16.989999999999998</v>
      </c>
      <c r="D6" s="25" t="s">
        <v>158</v>
      </c>
      <c r="E6" s="29">
        <v>151.82</v>
      </c>
      <c r="F6" s="134">
        <f t="shared" ref="F6:F19" si="0">C6*E6</f>
        <v>2579.4217999999996</v>
      </c>
    </row>
    <row r="7" spans="1:6" ht="105">
      <c r="A7" s="135" t="s">
        <v>87</v>
      </c>
      <c r="B7" s="26" t="s">
        <v>159</v>
      </c>
      <c r="C7" s="134">
        <v>2.12</v>
      </c>
      <c r="D7" s="25" t="s">
        <v>158</v>
      </c>
      <c r="E7" s="29">
        <v>598.51</v>
      </c>
      <c r="F7" s="134">
        <f t="shared" si="0"/>
        <v>1268.8412000000001</v>
      </c>
    </row>
    <row r="8" spans="1:6" ht="90">
      <c r="A8" s="135" t="s">
        <v>160</v>
      </c>
      <c r="B8" s="26" t="s">
        <v>161</v>
      </c>
      <c r="C8" s="134">
        <v>3.54</v>
      </c>
      <c r="D8" s="25" t="s">
        <v>158</v>
      </c>
      <c r="E8" s="29">
        <v>1756.4</v>
      </c>
      <c r="F8" s="134">
        <f t="shared" si="0"/>
        <v>6217.6559999999999</v>
      </c>
    </row>
    <row r="9" spans="1:6" ht="60">
      <c r="A9" s="131" t="s">
        <v>162</v>
      </c>
      <c r="B9" s="26" t="s">
        <v>163</v>
      </c>
      <c r="C9" s="134">
        <v>8.5</v>
      </c>
      <c r="D9" s="25" t="s">
        <v>158</v>
      </c>
      <c r="E9" s="29">
        <v>6082.45</v>
      </c>
      <c r="F9" s="134">
        <f t="shared" si="0"/>
        <v>51700.824999999997</v>
      </c>
    </row>
    <row r="10" spans="1:6" ht="135">
      <c r="A10" s="131" t="s">
        <v>164</v>
      </c>
      <c r="B10" s="26" t="s">
        <v>165</v>
      </c>
      <c r="C10" s="134">
        <v>2.8</v>
      </c>
      <c r="D10" s="25" t="s">
        <v>158</v>
      </c>
      <c r="E10" s="29">
        <v>6308.87</v>
      </c>
      <c r="F10" s="134">
        <f t="shared" si="0"/>
        <v>17664.835999999999</v>
      </c>
    </row>
    <row r="11" spans="1:6" ht="120">
      <c r="A11" s="26" t="s">
        <v>166</v>
      </c>
      <c r="B11" s="26" t="s">
        <v>167</v>
      </c>
      <c r="C11" s="131">
        <v>0.58899999999999997</v>
      </c>
      <c r="D11" s="26" t="s">
        <v>10</v>
      </c>
      <c r="E11" s="26">
        <v>83314.02</v>
      </c>
      <c r="F11" s="26">
        <f t="shared" si="0"/>
        <v>49071.957779999997</v>
      </c>
    </row>
    <row r="12" spans="1:6" ht="120">
      <c r="A12" s="131" t="s">
        <v>168</v>
      </c>
      <c r="B12" s="26" t="s">
        <v>169</v>
      </c>
      <c r="C12" s="134">
        <v>0.14899999999999999</v>
      </c>
      <c r="D12" s="25" t="s">
        <v>10</v>
      </c>
      <c r="E12" s="29">
        <v>82096.539999999994</v>
      </c>
      <c r="F12" s="134">
        <f t="shared" si="0"/>
        <v>12232.384459999999</v>
      </c>
    </row>
    <row r="13" spans="1:6" ht="60">
      <c r="A13" s="26" t="s">
        <v>170</v>
      </c>
      <c r="B13" s="26" t="s">
        <v>171</v>
      </c>
      <c r="C13" s="134">
        <v>99.62</v>
      </c>
      <c r="D13" s="26" t="s">
        <v>172</v>
      </c>
      <c r="E13" s="136">
        <v>194.5</v>
      </c>
      <c r="F13" s="134">
        <f t="shared" si="0"/>
        <v>19376.09</v>
      </c>
    </row>
    <row r="14" spans="1:6" ht="150">
      <c r="A14" s="26" t="s">
        <v>173</v>
      </c>
      <c r="B14" s="26" t="s">
        <v>174</v>
      </c>
      <c r="C14" s="26">
        <v>11.33</v>
      </c>
      <c r="D14" s="26" t="s">
        <v>158</v>
      </c>
      <c r="E14" s="26">
        <v>4961.7299999999996</v>
      </c>
      <c r="F14" s="26">
        <f t="shared" si="0"/>
        <v>56216.400899999993</v>
      </c>
    </row>
    <row r="15" spans="1:6">
      <c r="A15" s="27">
        <v>11</v>
      </c>
      <c r="B15" s="28" t="s">
        <v>175</v>
      </c>
      <c r="C15" s="134"/>
      <c r="D15" s="25"/>
      <c r="E15" s="29"/>
      <c r="F15" s="134"/>
    </row>
    <row r="16" spans="1:6">
      <c r="A16" s="27" t="s">
        <v>176</v>
      </c>
      <c r="B16" s="26" t="s">
        <v>177</v>
      </c>
      <c r="C16" s="26">
        <f>4.87+4.86</f>
        <v>9.73</v>
      </c>
      <c r="D16" s="26" t="s">
        <v>158</v>
      </c>
      <c r="E16" s="26">
        <v>848.82</v>
      </c>
      <c r="F16" s="134">
        <f t="shared" si="0"/>
        <v>8259.0186000000012</v>
      </c>
    </row>
    <row r="17" spans="1:6">
      <c r="A17" s="27" t="s">
        <v>178</v>
      </c>
      <c r="B17" s="26" t="s">
        <v>179</v>
      </c>
      <c r="C17" s="26">
        <v>2.12</v>
      </c>
      <c r="D17" s="26" t="s">
        <v>158</v>
      </c>
      <c r="E17" s="26">
        <v>328.02</v>
      </c>
      <c r="F17" s="134">
        <f t="shared" si="0"/>
        <v>695.40239999999994</v>
      </c>
    </row>
    <row r="18" spans="1:6">
      <c r="A18" s="27" t="s">
        <v>180</v>
      </c>
      <c r="B18" s="26" t="s">
        <v>181</v>
      </c>
      <c r="C18" s="26">
        <v>3.54</v>
      </c>
      <c r="D18" s="26" t="s">
        <v>158</v>
      </c>
      <c r="E18" s="26">
        <v>679.66</v>
      </c>
      <c r="F18" s="134">
        <f t="shared" si="0"/>
        <v>2405.9964</v>
      </c>
    </row>
    <row r="19" spans="1:6">
      <c r="A19" s="27" t="s">
        <v>182</v>
      </c>
      <c r="B19" s="26" t="s">
        <v>183</v>
      </c>
      <c r="C19" s="26">
        <f>9.74+9.72</f>
        <v>19.46</v>
      </c>
      <c r="D19" s="26" t="s">
        <v>158</v>
      </c>
      <c r="E19" s="26">
        <v>447.06</v>
      </c>
      <c r="F19" s="134">
        <f t="shared" si="0"/>
        <v>8699.7875999999997</v>
      </c>
    </row>
    <row r="20" spans="1:6">
      <c r="A20" s="27" t="s">
        <v>184</v>
      </c>
      <c r="B20" s="26" t="s">
        <v>185</v>
      </c>
      <c r="C20" s="26">
        <v>16.989999999999998</v>
      </c>
      <c r="D20" s="26" t="s">
        <v>158</v>
      </c>
      <c r="E20" s="26">
        <v>177.1</v>
      </c>
      <c r="F20" s="134">
        <v>1997</v>
      </c>
    </row>
    <row r="21" spans="1:6">
      <c r="A21" s="27"/>
      <c r="B21" s="28"/>
      <c r="C21" s="29"/>
      <c r="D21" s="25"/>
      <c r="E21" s="29" t="s">
        <v>59</v>
      </c>
      <c r="F21" s="134">
        <f>SUM(F5:F20)</f>
        <v>241654.11814000004</v>
      </c>
    </row>
    <row r="22" spans="1:6" ht="30">
      <c r="A22" s="27"/>
      <c r="B22" s="28"/>
      <c r="C22" s="29"/>
      <c r="D22" s="25"/>
      <c r="E22" s="26" t="s">
        <v>60</v>
      </c>
      <c r="F22" s="26">
        <f>F21*18/100</f>
        <v>43497.741265200006</v>
      </c>
    </row>
    <row r="23" spans="1:6">
      <c r="A23" s="27"/>
      <c r="B23" s="28"/>
      <c r="C23" s="29"/>
      <c r="D23" s="25"/>
      <c r="E23" s="26"/>
      <c r="F23" s="26">
        <f>F22+F21</f>
        <v>285151.85940520006</v>
      </c>
    </row>
    <row r="24" spans="1:6" ht="30">
      <c r="A24" s="27"/>
      <c r="B24" s="28"/>
      <c r="C24" s="29"/>
      <c r="D24" s="25"/>
      <c r="E24" s="26" t="s">
        <v>61</v>
      </c>
      <c r="F24" s="26">
        <f>F23*1/100</f>
        <v>2851.5185940520005</v>
      </c>
    </row>
    <row r="25" spans="1:6">
      <c r="A25" s="27"/>
      <c r="B25" s="28"/>
      <c r="C25" s="29"/>
      <c r="D25" s="25"/>
      <c r="E25" s="26" t="s">
        <v>59</v>
      </c>
      <c r="F25" s="26">
        <f>F24+F23</f>
        <v>288003.37799925206</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H30"/>
  <sheetViews>
    <sheetView topLeftCell="A10" workbookViewId="0">
      <selection sqref="A1:F1"/>
    </sheetView>
  </sheetViews>
  <sheetFormatPr defaultColWidth="9.140625" defaultRowHeight="15"/>
  <cols>
    <col min="1" max="1" width="10.85546875" customWidth="1"/>
    <col min="2" max="2" width="50" customWidth="1"/>
    <col min="3" max="3" width="11.28515625" customWidth="1"/>
    <col min="4" max="4" width="5.5703125" bestFit="1" customWidth="1"/>
    <col min="5" max="5" width="11.42578125" bestFit="1" customWidth="1"/>
    <col min="6" max="6" width="19.28515625" customWidth="1"/>
  </cols>
  <sheetData>
    <row r="1" spans="1:8" ht="57.95" customHeight="1">
      <c r="A1" s="384" t="s">
        <v>298</v>
      </c>
      <c r="B1" s="384"/>
      <c r="C1" s="384"/>
      <c r="D1" s="384"/>
      <c r="E1" s="384"/>
      <c r="F1" s="384"/>
    </row>
    <row r="2" spans="1:8" ht="31.5">
      <c r="A2" s="155" t="s">
        <v>64</v>
      </c>
      <c r="B2" s="155" t="s">
        <v>262</v>
      </c>
      <c r="C2" s="89" t="s">
        <v>299</v>
      </c>
      <c r="D2" s="89" t="s">
        <v>264</v>
      </c>
      <c r="E2" s="89" t="s">
        <v>300</v>
      </c>
      <c r="F2" s="89" t="s">
        <v>301</v>
      </c>
    </row>
    <row r="3" spans="1:8" ht="31.5">
      <c r="A3" s="89">
        <v>1</v>
      </c>
      <c r="B3" s="230" t="s">
        <v>302</v>
      </c>
      <c r="C3" s="98">
        <v>10</v>
      </c>
      <c r="D3" s="98" t="s">
        <v>303</v>
      </c>
      <c r="E3" s="231">
        <v>326.85000000000002</v>
      </c>
      <c r="F3" s="231">
        <f>ROUND(C3*E3,2)</f>
        <v>3268.5</v>
      </c>
    </row>
    <row r="4" spans="1:8" ht="126">
      <c r="A4" s="89" t="s">
        <v>304</v>
      </c>
      <c r="B4" s="230" t="s">
        <v>305</v>
      </c>
      <c r="C4" s="232">
        <v>68.054375531011047</v>
      </c>
      <c r="D4" s="233" t="s">
        <v>15</v>
      </c>
      <c r="E4" s="234">
        <v>151.82</v>
      </c>
      <c r="F4" s="234">
        <v>10332.02</v>
      </c>
    </row>
    <row r="5" spans="1:8" ht="95.45" customHeight="1">
      <c r="A5" s="89" t="s">
        <v>306</v>
      </c>
      <c r="B5" s="96" t="s">
        <v>46</v>
      </c>
      <c r="C5" s="232">
        <v>6.372132540356839</v>
      </c>
      <c r="D5" s="233" t="s">
        <v>15</v>
      </c>
      <c r="E5" s="234">
        <v>589.51</v>
      </c>
      <c r="F5" s="234">
        <v>3756.44</v>
      </c>
    </row>
    <row r="6" spans="1:8" ht="78.75">
      <c r="A6" s="89" t="s">
        <v>307</v>
      </c>
      <c r="B6" s="230" t="s">
        <v>213</v>
      </c>
      <c r="C6" s="232">
        <v>10.705182667799489</v>
      </c>
      <c r="D6" s="233" t="s">
        <v>15</v>
      </c>
      <c r="E6" s="234">
        <v>1756.4</v>
      </c>
      <c r="F6" s="234">
        <v>18802.580000000002</v>
      </c>
    </row>
    <row r="7" spans="1:8" ht="126">
      <c r="A7" s="235" t="s">
        <v>308</v>
      </c>
      <c r="B7" s="236" t="s">
        <v>50</v>
      </c>
      <c r="C7" s="237">
        <v>31.860662701784197</v>
      </c>
      <c r="D7" s="238" t="s">
        <v>15</v>
      </c>
      <c r="E7" s="239">
        <v>6082.45</v>
      </c>
      <c r="F7" s="234">
        <v>193790.89</v>
      </c>
      <c r="H7" s="200"/>
    </row>
    <row r="8" spans="1:8" ht="117.95" customHeight="1">
      <c r="A8" s="235" t="s">
        <v>225</v>
      </c>
      <c r="B8" s="240" t="s">
        <v>52</v>
      </c>
      <c r="C8" s="241">
        <v>12.744265080713678</v>
      </c>
      <c r="D8" s="242" t="s">
        <v>15</v>
      </c>
      <c r="E8" s="243">
        <v>6308.87</v>
      </c>
      <c r="F8" s="234">
        <v>80401.91</v>
      </c>
    </row>
    <row r="9" spans="1:8" ht="78.75">
      <c r="A9" s="235" t="s">
        <v>309</v>
      </c>
      <c r="B9" s="244" t="s">
        <v>310</v>
      </c>
      <c r="C9" s="241"/>
      <c r="D9" s="242"/>
      <c r="E9" s="243"/>
      <c r="F9" s="234"/>
    </row>
    <row r="10" spans="1:8" ht="15.75">
      <c r="A10" s="235"/>
      <c r="B10" s="230" t="s">
        <v>311</v>
      </c>
      <c r="C10" s="245">
        <v>2.3624999999999998</v>
      </c>
      <c r="D10" s="242" t="s">
        <v>10</v>
      </c>
      <c r="E10" s="246">
        <v>82096.539999999994</v>
      </c>
      <c r="F10" s="234">
        <f>ROUND(C10*E10,2)</f>
        <v>193953.08</v>
      </c>
    </row>
    <row r="11" spans="1:8" ht="15.75">
      <c r="A11" s="235"/>
      <c r="B11" s="230" t="s">
        <v>312</v>
      </c>
      <c r="C11" s="245">
        <v>1.575</v>
      </c>
      <c r="D11" s="242" t="s">
        <v>10</v>
      </c>
      <c r="E11" s="246">
        <v>83314.02</v>
      </c>
      <c r="F11" s="234">
        <f>ROUND(C11*E11,2)</f>
        <v>131219.57999999999</v>
      </c>
    </row>
    <row r="12" spans="1:8" ht="63">
      <c r="A12" s="89" t="s">
        <v>313</v>
      </c>
      <c r="B12" s="96" t="s">
        <v>57</v>
      </c>
      <c r="C12" s="241">
        <v>710.96654275092942</v>
      </c>
      <c r="D12" s="242" t="s">
        <v>11</v>
      </c>
      <c r="E12" s="243">
        <v>194.5</v>
      </c>
      <c r="F12" s="234">
        <v>138282.99</v>
      </c>
    </row>
    <row r="13" spans="1:8" ht="18.75">
      <c r="A13" s="89">
        <v>9</v>
      </c>
      <c r="B13" s="247" t="s">
        <v>12</v>
      </c>
      <c r="C13" s="248"/>
      <c r="D13" s="249"/>
      <c r="E13" s="250"/>
      <c r="F13" s="231"/>
    </row>
    <row r="14" spans="1:8" ht="15.75">
      <c r="A14" s="89"/>
      <c r="B14" s="244" t="s">
        <v>314</v>
      </c>
      <c r="C14" s="248" t="e">
        <f>PRODUCT([6]Material!G8-[6]Material!G4)</f>
        <v>#REF!</v>
      </c>
      <c r="D14" s="249" t="s">
        <v>15</v>
      </c>
      <c r="E14" s="250">
        <v>848.82</v>
      </c>
      <c r="F14" s="231" t="e">
        <f t="shared" ref="F14:F18" si="0">ROUND(C14*E14,2)</f>
        <v>#REF!</v>
      </c>
    </row>
    <row r="15" spans="1:8" ht="15.75">
      <c r="A15" s="89"/>
      <c r="B15" s="251" t="s">
        <v>315</v>
      </c>
      <c r="C15" s="248">
        <f>[6]Material!F8</f>
        <v>6.372132540356839</v>
      </c>
      <c r="D15" s="249" t="s">
        <v>15</v>
      </c>
      <c r="E15" s="250">
        <v>313.14</v>
      </c>
      <c r="F15" s="231">
        <f t="shared" si="0"/>
        <v>1995.37</v>
      </c>
    </row>
    <row r="16" spans="1:8" ht="15.75">
      <c r="A16" s="89"/>
      <c r="B16" s="244" t="s">
        <v>316</v>
      </c>
      <c r="C16" s="248">
        <f>PRODUCT([6]Material!H8)</f>
        <v>27.40016992353441</v>
      </c>
      <c r="D16" s="249" t="s">
        <v>15</v>
      </c>
      <c r="E16" s="250">
        <v>447.06</v>
      </c>
      <c r="F16" s="231">
        <f t="shared" si="0"/>
        <v>12249.52</v>
      </c>
    </row>
    <row r="17" spans="1:6" ht="15.75">
      <c r="A17" s="89"/>
      <c r="B17" s="244" t="s">
        <v>317</v>
      </c>
      <c r="C17" s="248">
        <f>PRODUCT([6]Material!J8)</f>
        <v>10.705182667799489</v>
      </c>
      <c r="D17" s="249" t="s">
        <v>15</v>
      </c>
      <c r="E17" s="250">
        <v>679.66</v>
      </c>
      <c r="F17" s="231">
        <f t="shared" si="0"/>
        <v>7275.88</v>
      </c>
    </row>
    <row r="18" spans="1:6" ht="15.75">
      <c r="A18" s="89"/>
      <c r="B18" s="244" t="s">
        <v>318</v>
      </c>
      <c r="C18" s="248">
        <f>[6]Material!K8</f>
        <v>68.054375531011047</v>
      </c>
      <c r="D18" s="249" t="s">
        <v>15</v>
      </c>
      <c r="E18" s="250">
        <v>117.54</v>
      </c>
      <c r="F18" s="231">
        <f t="shared" si="0"/>
        <v>7999.11</v>
      </c>
    </row>
    <row r="19" spans="1:6" ht="15.75">
      <c r="A19" s="89"/>
      <c r="B19" s="208"/>
      <c r="C19" s="385" t="s">
        <v>24</v>
      </c>
      <c r="D19" s="385"/>
      <c r="E19" s="385"/>
      <c r="F19" s="250" t="e">
        <f>SUM(F3:F18)</f>
        <v>#REF!</v>
      </c>
    </row>
    <row r="20" spans="1:6" ht="15.75">
      <c r="A20" s="252"/>
      <c r="B20" s="252"/>
      <c r="C20" s="253"/>
      <c r="D20" s="386" t="s">
        <v>319</v>
      </c>
      <c r="E20" s="387"/>
      <c r="F20" s="250" t="e">
        <f>F19*18%</f>
        <v>#REF!</v>
      </c>
    </row>
    <row r="21" spans="1:6" ht="15.75">
      <c r="A21" s="252"/>
      <c r="B21" s="252"/>
      <c r="C21" s="253"/>
      <c r="D21" s="386" t="s">
        <v>24</v>
      </c>
      <c r="E21" s="387"/>
      <c r="F21" s="250" t="e">
        <f>SUM(F19:F20)</f>
        <v>#REF!</v>
      </c>
    </row>
    <row r="22" spans="1:6" ht="15.75">
      <c r="C22" s="254"/>
      <c r="D22" s="388" t="s">
        <v>320</v>
      </c>
      <c r="E22" s="388"/>
      <c r="F22" s="255" t="e">
        <f>F21*1/100</f>
        <v>#REF!</v>
      </c>
    </row>
    <row r="23" spans="1:6" ht="15.75">
      <c r="C23" s="254"/>
      <c r="D23" s="388" t="s">
        <v>321</v>
      </c>
      <c r="E23" s="388"/>
      <c r="F23" s="256" t="e">
        <f>SUM(F21:F22)</f>
        <v>#REF!</v>
      </c>
    </row>
    <row r="24" spans="1:6" ht="15.75">
      <c r="C24" s="257"/>
      <c r="D24" s="257"/>
      <c r="E24" s="258" t="s">
        <v>322</v>
      </c>
      <c r="F24" s="341">
        <v>971265</v>
      </c>
    </row>
    <row r="29" spans="1:6">
      <c r="A29" s="382"/>
      <c r="B29" s="382"/>
      <c r="C29" s="382"/>
      <c r="D29" s="382"/>
      <c r="E29" s="382"/>
      <c r="F29" s="382"/>
    </row>
    <row r="30" spans="1:6">
      <c r="A30" s="383"/>
      <c r="B30" s="383"/>
      <c r="C30" s="383"/>
      <c r="D30" s="383"/>
      <c r="E30" s="383"/>
      <c r="F30" s="383"/>
    </row>
  </sheetData>
  <mergeCells count="8">
    <mergeCell ref="A29:F29"/>
    <mergeCell ref="A30:F30"/>
    <mergeCell ref="A1:F1"/>
    <mergeCell ref="C19:E19"/>
    <mergeCell ref="D20:E20"/>
    <mergeCell ref="D21:E21"/>
    <mergeCell ref="D22:E22"/>
    <mergeCell ref="D23:E23"/>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sheetPr>
    <tabColor theme="0"/>
  </sheetPr>
  <dimension ref="A1:H32"/>
  <sheetViews>
    <sheetView topLeftCell="A16" workbookViewId="0">
      <selection activeCell="F21" sqref="F21"/>
    </sheetView>
  </sheetViews>
  <sheetFormatPr defaultColWidth="9.140625" defaultRowHeight="15"/>
  <cols>
    <col min="1" max="1" width="10.85546875" style="329" customWidth="1"/>
    <col min="2" max="2" width="50" style="329" customWidth="1"/>
    <col min="3" max="3" width="11.28515625" style="329" customWidth="1"/>
    <col min="4" max="4" width="5.5703125" style="329" bestFit="1" customWidth="1"/>
    <col min="5" max="5" width="14.7109375" style="329" bestFit="1" customWidth="1"/>
    <col min="6" max="6" width="19.28515625" style="329" customWidth="1"/>
    <col min="7" max="16384" width="9.140625" style="329"/>
  </cols>
  <sheetData>
    <row r="1" spans="1:8" ht="57.95" customHeight="1">
      <c r="A1" s="389" t="s">
        <v>417</v>
      </c>
      <c r="B1" s="390"/>
      <c r="C1" s="390"/>
      <c r="D1" s="390"/>
      <c r="E1" s="390"/>
      <c r="F1" s="391"/>
    </row>
    <row r="2" spans="1:8" ht="32.25" customHeight="1">
      <c r="A2" s="392" t="s">
        <v>75</v>
      </c>
      <c r="B2" s="392"/>
      <c r="C2" s="392"/>
      <c r="D2" s="392"/>
      <c r="E2" s="392"/>
      <c r="F2" s="392"/>
    </row>
    <row r="3" spans="1:8" ht="31.5">
      <c r="A3" s="328" t="s">
        <v>64</v>
      </c>
      <c r="B3" s="328" t="s">
        <v>262</v>
      </c>
      <c r="C3" s="89" t="s">
        <v>299</v>
      </c>
      <c r="D3" s="89" t="s">
        <v>264</v>
      </c>
      <c r="E3" s="89" t="s">
        <v>300</v>
      </c>
      <c r="F3" s="89" t="s">
        <v>301</v>
      </c>
    </row>
    <row r="4" spans="1:8" ht="31.5">
      <c r="A4" s="89">
        <v>1</v>
      </c>
      <c r="B4" s="230" t="s">
        <v>302</v>
      </c>
      <c r="C4" s="360">
        <v>10</v>
      </c>
      <c r="D4" s="360" t="s">
        <v>303</v>
      </c>
      <c r="E4" s="361">
        <v>326.85000000000002</v>
      </c>
      <c r="F4" s="361">
        <f>ROUND(C4*E4,2)</f>
        <v>3268.5</v>
      </c>
    </row>
    <row r="5" spans="1:8" ht="126">
      <c r="A5" s="89" t="s">
        <v>304</v>
      </c>
      <c r="B5" s="230" t="s">
        <v>305</v>
      </c>
      <c r="C5" s="362">
        <v>0.12744265080713679</v>
      </c>
      <c r="D5" s="360" t="s">
        <v>15</v>
      </c>
      <c r="E5" s="361">
        <v>151.82</v>
      </c>
      <c r="F5" s="361">
        <v>19.350000000000001</v>
      </c>
    </row>
    <row r="6" spans="1:8" ht="95.45" customHeight="1">
      <c r="A6" s="89" t="s">
        <v>306</v>
      </c>
      <c r="B6" s="96" t="s">
        <v>46</v>
      </c>
      <c r="C6" s="362">
        <v>3.1152647975077881</v>
      </c>
      <c r="D6" s="360" t="s">
        <v>15</v>
      </c>
      <c r="E6" s="361">
        <v>589.51</v>
      </c>
      <c r="F6" s="361">
        <v>1836.48</v>
      </c>
    </row>
    <row r="7" spans="1:8" ht="78.75">
      <c r="A7" s="89" t="s">
        <v>307</v>
      </c>
      <c r="B7" s="230" t="s">
        <v>213</v>
      </c>
      <c r="C7" s="362">
        <v>5.2336448598130829</v>
      </c>
      <c r="D7" s="360" t="s">
        <v>15</v>
      </c>
      <c r="E7" s="361">
        <v>1756.4</v>
      </c>
      <c r="F7" s="361">
        <v>9192.3700000000008</v>
      </c>
    </row>
    <row r="8" spans="1:8" ht="138" customHeight="1">
      <c r="A8" s="235" t="s">
        <v>418</v>
      </c>
      <c r="B8" s="363" t="s">
        <v>419</v>
      </c>
      <c r="C8" s="364">
        <v>43.613707165109034</v>
      </c>
      <c r="D8" s="365" t="s">
        <v>15</v>
      </c>
      <c r="E8" s="366">
        <v>4961.7299999999996</v>
      </c>
      <c r="F8" s="361">
        <v>216399.44</v>
      </c>
      <c r="H8" s="330"/>
    </row>
    <row r="9" spans="1:8" ht="126">
      <c r="A9" s="235" t="s">
        <v>49</v>
      </c>
      <c r="B9" s="236" t="s">
        <v>50</v>
      </c>
      <c r="C9" s="250">
        <v>15.57632398753894</v>
      </c>
      <c r="D9" s="367" t="s">
        <v>15</v>
      </c>
      <c r="E9" s="331">
        <v>6082.45</v>
      </c>
      <c r="F9" s="361">
        <v>94742.21</v>
      </c>
      <c r="H9" s="330"/>
    </row>
    <row r="10" spans="1:8" ht="117.95" customHeight="1">
      <c r="A10" s="235" t="s">
        <v>225</v>
      </c>
      <c r="B10" s="240" t="s">
        <v>52</v>
      </c>
      <c r="C10" s="248">
        <v>6.2305295950155761</v>
      </c>
      <c r="D10" s="249" t="s">
        <v>15</v>
      </c>
      <c r="E10" s="368">
        <v>6308.87</v>
      </c>
      <c r="F10" s="361">
        <v>39307.599999999999</v>
      </c>
    </row>
    <row r="11" spans="1:8" ht="78.75">
      <c r="A11" s="235" t="s">
        <v>309</v>
      </c>
      <c r="B11" s="244" t="s">
        <v>310</v>
      </c>
      <c r="C11" s="248"/>
      <c r="D11" s="249"/>
      <c r="E11" s="368"/>
      <c r="F11" s="361"/>
    </row>
    <row r="12" spans="1:8" ht="15.75">
      <c r="A12" s="235"/>
      <c r="B12" s="230" t="s">
        <v>311</v>
      </c>
      <c r="C12" s="369">
        <v>1.155</v>
      </c>
      <c r="D12" s="249" t="s">
        <v>10</v>
      </c>
      <c r="E12" s="370">
        <v>82096.539999999994</v>
      </c>
      <c r="F12" s="361">
        <f t="shared" ref="F12:F20" si="0">ROUND(C12*E12,2)</f>
        <v>94821.5</v>
      </c>
    </row>
    <row r="13" spans="1:8" ht="15.75">
      <c r="A13" s="235"/>
      <c r="B13" s="230" t="s">
        <v>312</v>
      </c>
      <c r="C13" s="369">
        <v>0.77</v>
      </c>
      <c r="D13" s="249" t="s">
        <v>10</v>
      </c>
      <c r="E13" s="370">
        <v>83314.02</v>
      </c>
      <c r="F13" s="361">
        <f>ROUND(C13*E13,2)</f>
        <v>64151.8</v>
      </c>
    </row>
    <row r="14" spans="1:8" ht="63">
      <c r="A14" s="89" t="s">
        <v>56</v>
      </c>
      <c r="B14" s="96" t="s">
        <v>57</v>
      </c>
      <c r="C14" s="248">
        <v>260.22304832713758</v>
      </c>
      <c r="D14" s="249" t="s">
        <v>11</v>
      </c>
      <c r="E14" s="368">
        <v>194.5</v>
      </c>
      <c r="F14" s="361">
        <v>50613.38</v>
      </c>
    </row>
    <row r="15" spans="1:8" ht="18.75">
      <c r="A15" s="89">
        <v>10</v>
      </c>
      <c r="B15" s="247" t="s">
        <v>12</v>
      </c>
      <c r="C15" s="248"/>
      <c r="D15" s="249"/>
      <c r="E15" s="250"/>
      <c r="F15" s="361"/>
    </row>
    <row r="16" spans="1:8" ht="15.75">
      <c r="A16" s="89"/>
      <c r="B16" s="244" t="s">
        <v>314</v>
      </c>
      <c r="C16" s="248" t="e">
        <f>PRODUCT([7]Material!G9-[7]Material!G4)</f>
        <v>#REF!</v>
      </c>
      <c r="D16" s="249" t="s">
        <v>15</v>
      </c>
      <c r="E16" s="250">
        <v>848.82</v>
      </c>
      <c r="F16" s="361" t="e">
        <f t="shared" si="0"/>
        <v>#REF!</v>
      </c>
    </row>
    <row r="17" spans="1:6" ht="20.25" customHeight="1">
      <c r="A17" s="89"/>
      <c r="B17" s="251" t="s">
        <v>315</v>
      </c>
      <c r="C17" s="248">
        <f>[7]Material!F9</f>
        <v>3.1152647975077881</v>
      </c>
      <c r="D17" s="249" t="s">
        <v>15</v>
      </c>
      <c r="E17" s="250">
        <v>313.14</v>
      </c>
      <c r="F17" s="361">
        <f t="shared" si="0"/>
        <v>975.51</v>
      </c>
    </row>
    <row r="18" spans="1:6" ht="20.25" customHeight="1">
      <c r="A18" s="89"/>
      <c r="B18" s="244" t="s">
        <v>316</v>
      </c>
      <c r="C18" s="248">
        <f>PRODUCT([7]Material!H9)</f>
        <v>50.903426791277255</v>
      </c>
      <c r="D18" s="249" t="s">
        <v>15</v>
      </c>
      <c r="E18" s="250">
        <v>447.06</v>
      </c>
      <c r="F18" s="361">
        <f t="shared" si="0"/>
        <v>22756.89</v>
      </c>
    </row>
    <row r="19" spans="1:6" ht="20.25" customHeight="1">
      <c r="A19" s="89"/>
      <c r="B19" s="244" t="s">
        <v>317</v>
      </c>
      <c r="C19" s="248">
        <f>PRODUCT([7]Material!J9)</f>
        <v>5.2336448598130829</v>
      </c>
      <c r="D19" s="249" t="s">
        <v>15</v>
      </c>
      <c r="E19" s="250">
        <v>679.66</v>
      </c>
      <c r="F19" s="361">
        <f t="shared" si="0"/>
        <v>3557.1</v>
      </c>
    </row>
    <row r="20" spans="1:6" ht="20.25" customHeight="1">
      <c r="A20" s="89"/>
      <c r="B20" s="244" t="s">
        <v>318</v>
      </c>
      <c r="C20" s="248">
        <f>[7]Material!K9</f>
        <v>0.12744265080713679</v>
      </c>
      <c r="D20" s="249" t="s">
        <v>15</v>
      </c>
      <c r="E20" s="250">
        <v>117.54</v>
      </c>
      <c r="F20" s="361">
        <f t="shared" si="0"/>
        <v>14.98</v>
      </c>
    </row>
    <row r="21" spans="1:6" ht="20.25" customHeight="1">
      <c r="A21" s="89"/>
      <c r="B21" s="208"/>
      <c r="C21" s="385" t="s">
        <v>24</v>
      </c>
      <c r="D21" s="385"/>
      <c r="E21" s="385"/>
      <c r="F21" s="250" t="e">
        <f>SUM(F4:F20)</f>
        <v>#REF!</v>
      </c>
    </row>
    <row r="22" spans="1:6" ht="20.25" customHeight="1">
      <c r="A22" s="208"/>
      <c r="B22" s="208"/>
      <c r="C22" s="331"/>
      <c r="D22" s="385" t="s">
        <v>319</v>
      </c>
      <c r="E22" s="385"/>
      <c r="F22" s="250" t="e">
        <f>F21*18%</f>
        <v>#REF!</v>
      </c>
    </row>
    <row r="23" spans="1:6" ht="20.25" customHeight="1">
      <c r="A23" s="208"/>
      <c r="B23" s="208"/>
      <c r="C23" s="331"/>
      <c r="D23" s="385" t="s">
        <v>24</v>
      </c>
      <c r="E23" s="385"/>
      <c r="F23" s="250" t="e">
        <f>SUM(F21:F22)</f>
        <v>#REF!</v>
      </c>
    </row>
    <row r="24" spans="1:6" ht="20.25" customHeight="1">
      <c r="A24" s="343"/>
      <c r="B24" s="343"/>
      <c r="C24" s="254"/>
      <c r="D24" s="388" t="s">
        <v>320</v>
      </c>
      <c r="E24" s="388"/>
      <c r="F24" s="255" t="e">
        <f>F23*1/100</f>
        <v>#REF!</v>
      </c>
    </row>
    <row r="25" spans="1:6" ht="20.25" customHeight="1">
      <c r="A25" s="343"/>
      <c r="B25" s="343"/>
      <c r="C25" s="254"/>
      <c r="D25" s="388" t="s">
        <v>321</v>
      </c>
      <c r="E25" s="388"/>
      <c r="F25" s="256" t="e">
        <f>SUM(F23:F24)</f>
        <v>#REF!</v>
      </c>
    </row>
    <row r="26" spans="1:6" ht="20.25" customHeight="1">
      <c r="A26" s="343"/>
      <c r="B26" s="343"/>
      <c r="C26" s="254"/>
      <c r="D26" s="254"/>
      <c r="E26" s="258" t="s">
        <v>322</v>
      </c>
      <c r="F26" s="259">
        <v>742802</v>
      </c>
    </row>
    <row r="31" spans="1:6" ht="63.75" customHeight="1">
      <c r="A31" s="382"/>
      <c r="B31" s="382"/>
      <c r="C31" s="382"/>
      <c r="D31" s="382"/>
      <c r="E31" s="382"/>
      <c r="F31" s="382"/>
    </row>
    <row r="32" spans="1:6" ht="63.75" customHeight="1">
      <c r="A32" s="383"/>
      <c r="B32" s="383"/>
      <c r="C32" s="383"/>
      <c r="D32" s="383"/>
      <c r="E32" s="383"/>
      <c r="F32" s="383"/>
    </row>
  </sheetData>
  <mergeCells count="9">
    <mergeCell ref="A1:F1"/>
    <mergeCell ref="A2:F2"/>
    <mergeCell ref="C21:E21"/>
    <mergeCell ref="A32:F32"/>
    <mergeCell ref="D22:E22"/>
    <mergeCell ref="D23:E23"/>
    <mergeCell ref="D24:E24"/>
    <mergeCell ref="D25:E25"/>
    <mergeCell ref="A31:F31"/>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28"/>
  <sheetViews>
    <sheetView workbookViewId="0">
      <selection activeCell="A4" sqref="A4:F4"/>
    </sheetView>
  </sheetViews>
  <sheetFormatPr defaultRowHeight="15"/>
  <cols>
    <col min="1" max="1" width="6.7109375" customWidth="1"/>
    <col min="2" max="2" width="41.7109375" customWidth="1"/>
    <col min="3" max="3" width="10" bestFit="1" customWidth="1"/>
    <col min="4" max="4" width="5.42578125" customWidth="1"/>
    <col min="5" max="5" width="11.42578125" bestFit="1" customWidth="1"/>
    <col min="6" max="6" width="25.140625" bestFit="1" customWidth="1"/>
  </cols>
  <sheetData>
    <row r="1" spans="1:6" ht="25.5" customHeight="1">
      <c r="A1" s="396"/>
      <c r="B1" s="397"/>
      <c r="C1" s="397"/>
      <c r="D1" s="397"/>
      <c r="E1" s="397"/>
      <c r="F1" s="398"/>
    </row>
    <row r="2" spans="1:6" ht="47.25" customHeight="1">
      <c r="A2" s="399" t="s">
        <v>0</v>
      </c>
      <c r="B2" s="400"/>
      <c r="C2" s="400"/>
      <c r="D2" s="400"/>
      <c r="E2" s="400"/>
      <c r="F2" s="401"/>
    </row>
    <row r="3" spans="1:6" ht="27.75" customHeight="1">
      <c r="A3" s="402" t="s">
        <v>323</v>
      </c>
      <c r="B3" s="403"/>
      <c r="C3" s="403"/>
      <c r="D3" s="403"/>
      <c r="E3" s="403"/>
      <c r="F3" s="404"/>
    </row>
    <row r="4" spans="1:6" s="329" customFormat="1" ht="27.75" customHeight="1">
      <c r="A4" s="408" t="s">
        <v>389</v>
      </c>
      <c r="B4" s="409"/>
      <c r="C4" s="409"/>
      <c r="D4" s="409"/>
      <c r="E4" s="409"/>
      <c r="F4" s="410"/>
    </row>
    <row r="5" spans="1:6" ht="32.25" customHeight="1">
      <c r="A5" s="162" t="s">
        <v>35</v>
      </c>
      <c r="B5" s="162" t="s">
        <v>36</v>
      </c>
      <c r="C5" s="162" t="s">
        <v>37</v>
      </c>
      <c r="D5" s="162" t="s">
        <v>5</v>
      </c>
      <c r="E5" s="162" t="s">
        <v>38</v>
      </c>
      <c r="F5" s="162" t="s">
        <v>39</v>
      </c>
    </row>
    <row r="6" spans="1:6" ht="141.75">
      <c r="A6" s="98" t="s">
        <v>324</v>
      </c>
      <c r="B6" s="260" t="s">
        <v>325</v>
      </c>
      <c r="C6" s="261">
        <v>13.03</v>
      </c>
      <c r="D6" s="261" t="s">
        <v>94</v>
      </c>
      <c r="E6" s="262">
        <v>151.82</v>
      </c>
      <c r="F6" s="263">
        <v>1978.21</v>
      </c>
    </row>
    <row r="7" spans="1:6" ht="114" customHeight="1">
      <c r="A7" s="98" t="s">
        <v>326</v>
      </c>
      <c r="B7" s="260" t="s">
        <v>327</v>
      </c>
      <c r="C7" s="264">
        <v>1.5</v>
      </c>
      <c r="D7" s="265" t="s">
        <v>94</v>
      </c>
      <c r="E7" s="266">
        <v>589.51</v>
      </c>
      <c r="F7" s="267">
        <v>884.27</v>
      </c>
    </row>
    <row r="8" spans="1:6" ht="110.25">
      <c r="A8" s="98" t="s">
        <v>328</v>
      </c>
      <c r="B8" s="260" t="s">
        <v>329</v>
      </c>
      <c r="C8" s="268">
        <v>2.46</v>
      </c>
      <c r="D8" s="266" t="s">
        <v>94</v>
      </c>
      <c r="E8" s="266">
        <v>1756.4</v>
      </c>
      <c r="F8" s="269">
        <v>4320.74</v>
      </c>
    </row>
    <row r="9" spans="1:6" ht="154.15" customHeight="1">
      <c r="A9" s="98" t="s">
        <v>330</v>
      </c>
      <c r="B9" s="260" t="s">
        <v>331</v>
      </c>
      <c r="C9" s="264">
        <v>7.5</v>
      </c>
      <c r="D9" s="265" t="s">
        <v>94</v>
      </c>
      <c r="E9" s="266">
        <v>6082.45</v>
      </c>
      <c r="F9" s="267">
        <v>45618.38</v>
      </c>
    </row>
    <row r="10" spans="1:6" ht="126">
      <c r="A10" s="98" t="s">
        <v>332</v>
      </c>
      <c r="B10" s="260" t="s">
        <v>333</v>
      </c>
      <c r="C10" s="264">
        <v>3</v>
      </c>
      <c r="D10" s="265" t="s">
        <v>94</v>
      </c>
      <c r="E10" s="266">
        <v>6308.87</v>
      </c>
      <c r="F10" s="269">
        <v>18926.61</v>
      </c>
    </row>
    <row r="11" spans="1:6" ht="141.75">
      <c r="A11" s="98">
        <v>6</v>
      </c>
      <c r="B11" s="260" t="s">
        <v>334</v>
      </c>
      <c r="C11" s="264"/>
      <c r="D11" s="265"/>
      <c r="E11" s="266"/>
      <c r="F11" s="269"/>
    </row>
    <row r="12" spans="1:6">
      <c r="A12" s="270" t="s">
        <v>335</v>
      </c>
      <c r="B12" s="271" t="s">
        <v>336</v>
      </c>
      <c r="C12" s="272">
        <v>0.371</v>
      </c>
      <c r="D12" s="273" t="s">
        <v>337</v>
      </c>
      <c r="E12" s="274">
        <v>83314.02</v>
      </c>
      <c r="F12" s="275">
        <f>ROUND((E12*C12),2)</f>
        <v>30909.5</v>
      </c>
    </row>
    <row r="13" spans="1:6" ht="20.25" customHeight="1">
      <c r="A13" s="270" t="s">
        <v>338</v>
      </c>
      <c r="B13" s="276" t="s">
        <v>339</v>
      </c>
      <c r="C13" s="272">
        <v>0.55700000000000005</v>
      </c>
      <c r="D13" s="273" t="s">
        <v>337</v>
      </c>
      <c r="E13" s="274">
        <v>82096.539999999994</v>
      </c>
      <c r="F13" s="275">
        <f>ROUND((E13*C13),2)</f>
        <v>45727.77</v>
      </c>
    </row>
    <row r="14" spans="1:6">
      <c r="A14" s="277"/>
      <c r="B14" s="278"/>
      <c r="C14" s="279"/>
      <c r="D14" s="273"/>
      <c r="E14" s="274"/>
      <c r="F14" s="275"/>
    </row>
    <row r="15" spans="1:6" ht="66.75" customHeight="1">
      <c r="A15" s="98" t="s">
        <v>340</v>
      </c>
      <c r="B15" s="260" t="s">
        <v>341</v>
      </c>
      <c r="C15" s="279">
        <v>49.26</v>
      </c>
      <c r="D15" s="273" t="s">
        <v>91</v>
      </c>
      <c r="E15" s="280">
        <v>194.5</v>
      </c>
      <c r="F15" s="275">
        <v>9581.07</v>
      </c>
    </row>
    <row r="16" spans="1:6">
      <c r="A16" s="281">
        <v>8</v>
      </c>
      <c r="B16" s="282" t="s">
        <v>144</v>
      </c>
      <c r="C16" s="283"/>
      <c r="D16" s="271"/>
      <c r="E16" s="271"/>
      <c r="F16" s="284"/>
    </row>
    <row r="17" spans="1:6" ht="18">
      <c r="A17" s="281" t="s">
        <v>13</v>
      </c>
      <c r="B17" s="285" t="s">
        <v>342</v>
      </c>
      <c r="C17" s="286">
        <f>[8]Sheet2!F9</f>
        <v>4.5199999999999996</v>
      </c>
      <c r="D17" s="287" t="s">
        <v>343</v>
      </c>
      <c r="E17" s="280">
        <v>848.82</v>
      </c>
      <c r="F17" s="288">
        <f>ROUND(C17*E17,2)</f>
        <v>3836.67</v>
      </c>
    </row>
    <row r="18" spans="1:6" ht="18">
      <c r="A18" s="281" t="s">
        <v>16</v>
      </c>
      <c r="B18" s="285" t="s">
        <v>344</v>
      </c>
      <c r="C18" s="286">
        <f>[8]Sheet2!E9</f>
        <v>1.5</v>
      </c>
      <c r="D18" s="287" t="s">
        <v>343</v>
      </c>
      <c r="E18" s="280">
        <v>313.14</v>
      </c>
      <c r="F18" s="288">
        <f>ROUND(C18*E18,2)</f>
        <v>469.71</v>
      </c>
    </row>
    <row r="19" spans="1:6" ht="18">
      <c r="A19" s="281" t="s">
        <v>18</v>
      </c>
      <c r="B19" s="285" t="s">
        <v>19</v>
      </c>
      <c r="C19" s="286">
        <f>[8]Sheet2!H9</f>
        <v>2.46</v>
      </c>
      <c r="D19" s="287" t="s">
        <v>343</v>
      </c>
      <c r="E19" s="274">
        <v>679.66</v>
      </c>
      <c r="F19" s="288">
        <f>ROUND(C19*E19,2)</f>
        <v>1671.96</v>
      </c>
    </row>
    <row r="20" spans="1:6" ht="18">
      <c r="A20" s="281" t="s">
        <v>20</v>
      </c>
      <c r="B20" s="285" t="s">
        <v>21</v>
      </c>
      <c r="C20" s="286">
        <f>[8]Sheet2!G9</f>
        <v>9.0300000000000011</v>
      </c>
      <c r="D20" s="287" t="s">
        <v>343</v>
      </c>
      <c r="E20" s="274">
        <v>447.06</v>
      </c>
      <c r="F20" s="288">
        <f>ROUND(C20*E20,2)</f>
        <v>4036.95</v>
      </c>
    </row>
    <row r="21" spans="1:6" ht="18">
      <c r="A21" s="281" t="s">
        <v>22</v>
      </c>
      <c r="B21" s="285" t="s">
        <v>23</v>
      </c>
      <c r="C21" s="286">
        <f>[8]Sheet2!I9</f>
        <v>13.03</v>
      </c>
      <c r="D21" s="287" t="s">
        <v>343</v>
      </c>
      <c r="E21" s="274">
        <v>117.54</v>
      </c>
      <c r="F21" s="288">
        <f>ROUND(C21*E21,2)</f>
        <v>1531.55</v>
      </c>
    </row>
    <row r="22" spans="1:6" ht="21.75" customHeight="1">
      <c r="A22" s="265"/>
      <c r="B22" s="265"/>
      <c r="C22" s="264"/>
      <c r="D22" s="265"/>
      <c r="E22" s="266" t="s">
        <v>24</v>
      </c>
      <c r="F22" s="289">
        <f>SUM(F6:F21)</f>
        <v>169493.38999999998</v>
      </c>
    </row>
    <row r="23" spans="1:6" ht="20.25" customHeight="1">
      <c r="A23" s="405" t="s">
        <v>25</v>
      </c>
      <c r="B23" s="406"/>
      <c r="C23" s="406"/>
      <c r="D23" s="406"/>
      <c r="E23" s="407"/>
      <c r="F23" s="290">
        <f>ROUND((F22*18%),2)</f>
        <v>30508.81</v>
      </c>
    </row>
    <row r="24" spans="1:6" ht="21" customHeight="1">
      <c r="A24" s="405" t="s">
        <v>24</v>
      </c>
      <c r="B24" s="406"/>
      <c r="C24" s="406"/>
      <c r="D24" s="406"/>
      <c r="E24" s="407"/>
      <c r="F24" s="290">
        <f>F22+F23</f>
        <v>200002.19999999998</v>
      </c>
    </row>
    <row r="25" spans="1:6" ht="21" customHeight="1">
      <c r="A25" s="405" t="s">
        <v>345</v>
      </c>
      <c r="B25" s="406"/>
      <c r="C25" s="406"/>
      <c r="D25" s="406"/>
      <c r="E25" s="407"/>
      <c r="F25" s="290">
        <f>ROUND((F24*1%),2)</f>
        <v>2000.02</v>
      </c>
    </row>
    <row r="26" spans="1:6" ht="19.5" customHeight="1">
      <c r="A26" s="393" t="s">
        <v>346</v>
      </c>
      <c r="B26" s="394"/>
      <c r="C26" s="394"/>
      <c r="D26" s="394"/>
      <c r="E26" s="395"/>
      <c r="F26" s="290">
        <f>F24+F25</f>
        <v>202002.21999999997</v>
      </c>
    </row>
    <row r="27" spans="1:6" ht="20.25" customHeight="1">
      <c r="A27" s="393" t="s">
        <v>347</v>
      </c>
      <c r="B27" s="394"/>
      <c r="C27" s="394"/>
      <c r="D27" s="394"/>
      <c r="E27" s="395"/>
      <c r="F27" s="291">
        <v>202002</v>
      </c>
    </row>
    <row r="28" spans="1:6">
      <c r="A28" s="159"/>
      <c r="B28" s="292"/>
      <c r="C28" s="159"/>
      <c r="D28" s="159"/>
      <c r="E28" s="159"/>
      <c r="F28" s="159"/>
    </row>
  </sheetData>
  <mergeCells count="9">
    <mergeCell ref="A26:E26"/>
    <mergeCell ref="A27:E27"/>
    <mergeCell ref="A1:F1"/>
    <mergeCell ref="A2:F2"/>
    <mergeCell ref="A3:F3"/>
    <mergeCell ref="A23:E23"/>
    <mergeCell ref="A24:E24"/>
    <mergeCell ref="A25:E25"/>
    <mergeCell ref="A4:F4"/>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K41"/>
  <sheetViews>
    <sheetView topLeftCell="A34" workbookViewId="0">
      <selection activeCell="F41" sqref="F41"/>
    </sheetView>
  </sheetViews>
  <sheetFormatPr defaultRowHeight="15"/>
  <cols>
    <col min="1" max="1" width="9.140625" style="30"/>
    <col min="2" max="2" width="42.85546875" style="31" customWidth="1"/>
    <col min="3" max="3" width="9.140625" style="23"/>
    <col min="4" max="4" width="9.140625" style="32"/>
    <col min="5" max="5" width="11" style="23" customWidth="1"/>
    <col min="6" max="6" width="16.42578125" style="33" customWidth="1"/>
    <col min="7" max="16384" width="9.140625" style="23"/>
  </cols>
  <sheetData>
    <row r="1" spans="1:6" ht="18.75">
      <c r="A1" s="380" t="s">
        <v>0</v>
      </c>
      <c r="B1" s="380"/>
      <c r="C1" s="380"/>
      <c r="D1" s="380"/>
      <c r="E1" s="380"/>
      <c r="F1" s="380"/>
    </row>
    <row r="2" spans="1:6" ht="18.75">
      <c r="A2" s="380" t="s">
        <v>33</v>
      </c>
      <c r="B2" s="380"/>
      <c r="C2" s="380"/>
      <c r="D2" s="380"/>
      <c r="E2" s="380"/>
      <c r="F2" s="380"/>
    </row>
    <row r="3" spans="1:6" ht="43.5" customHeight="1">
      <c r="A3" s="381" t="s">
        <v>82</v>
      </c>
      <c r="B3" s="381"/>
      <c r="C3" s="381"/>
      <c r="D3" s="381"/>
      <c r="E3" s="381"/>
      <c r="F3" s="381"/>
    </row>
    <row r="4" spans="1:6">
      <c r="A4" s="24" t="s">
        <v>35</v>
      </c>
      <c r="B4" s="24" t="s">
        <v>36</v>
      </c>
      <c r="C4" s="24" t="s">
        <v>37</v>
      </c>
      <c r="D4" s="24" t="s">
        <v>5</v>
      </c>
      <c r="E4" s="24" t="s">
        <v>38</v>
      </c>
      <c r="F4" s="24" t="s">
        <v>39</v>
      </c>
    </row>
    <row r="5" spans="1:6" ht="75">
      <c r="A5" s="26" t="s">
        <v>83</v>
      </c>
      <c r="B5" s="26" t="s">
        <v>84</v>
      </c>
      <c r="C5" s="131">
        <v>0.88600000000000001</v>
      </c>
      <c r="D5" s="26" t="s">
        <v>15</v>
      </c>
      <c r="E5" s="26">
        <v>955.89</v>
      </c>
      <c r="F5" s="26">
        <f>C5*E5</f>
        <v>846.91854000000001</v>
      </c>
    </row>
    <row r="6" spans="1:6" ht="120">
      <c r="A6" s="26" t="s">
        <v>85</v>
      </c>
      <c r="B6" s="26" t="s">
        <v>86</v>
      </c>
      <c r="C6" s="131">
        <v>3.2040000000000002</v>
      </c>
      <c r="D6" s="26" t="s">
        <v>15</v>
      </c>
      <c r="E6" s="26">
        <v>167.33</v>
      </c>
      <c r="F6" s="26">
        <f t="shared" ref="F6:F35" si="0">C6*E6</f>
        <v>536.1253200000001</v>
      </c>
    </row>
    <row r="7" spans="1:6" ht="120">
      <c r="A7" s="26" t="s">
        <v>87</v>
      </c>
      <c r="B7" s="26" t="s">
        <v>88</v>
      </c>
      <c r="C7" s="131">
        <v>0.53400000000000003</v>
      </c>
      <c r="D7" s="26" t="s">
        <v>15</v>
      </c>
      <c r="E7" s="26">
        <v>589.51</v>
      </c>
      <c r="F7" s="26">
        <f t="shared" si="0"/>
        <v>314.79834</v>
      </c>
    </row>
    <row r="8" spans="1:6" ht="60">
      <c r="A8" s="26" t="s">
        <v>89</v>
      </c>
      <c r="B8" s="26" t="s">
        <v>90</v>
      </c>
      <c r="C8" s="131">
        <v>3.5</v>
      </c>
      <c r="D8" s="26" t="s">
        <v>91</v>
      </c>
      <c r="E8" s="26">
        <v>356.52</v>
      </c>
      <c r="F8" s="26">
        <f t="shared" si="0"/>
        <v>1247.82</v>
      </c>
    </row>
    <row r="9" spans="1:6" ht="75">
      <c r="A9" s="26" t="s">
        <v>92</v>
      </c>
      <c r="B9" s="26" t="s">
        <v>93</v>
      </c>
      <c r="C9" s="131">
        <v>0.53</v>
      </c>
      <c r="D9" s="26" t="s">
        <v>94</v>
      </c>
      <c r="E9" s="26">
        <v>4854.5</v>
      </c>
      <c r="F9" s="26">
        <f t="shared" si="0"/>
        <v>2572.8850000000002</v>
      </c>
    </row>
    <row r="10" spans="1:6" ht="120">
      <c r="A10" s="26" t="s">
        <v>95</v>
      </c>
      <c r="B10" s="26" t="s">
        <v>96</v>
      </c>
      <c r="C10" s="131">
        <v>1.87</v>
      </c>
      <c r="D10" s="26" t="s">
        <v>94</v>
      </c>
      <c r="E10" s="26">
        <v>5618.23</v>
      </c>
      <c r="F10" s="26">
        <f t="shared" si="0"/>
        <v>10506.090099999999</v>
      </c>
    </row>
    <row r="11" spans="1:6" ht="75">
      <c r="A11" s="26" t="s">
        <v>97</v>
      </c>
      <c r="B11" s="26" t="s">
        <v>98</v>
      </c>
      <c r="C11" s="131">
        <v>3.52</v>
      </c>
      <c r="D11" s="26" t="s">
        <v>11</v>
      </c>
      <c r="E11" s="26">
        <v>278.35000000000002</v>
      </c>
      <c r="F11" s="26">
        <f t="shared" si="0"/>
        <v>979.79200000000003</v>
      </c>
    </row>
    <row r="12" spans="1:6" ht="120">
      <c r="A12" s="26" t="s">
        <v>99</v>
      </c>
      <c r="B12" s="26" t="s">
        <v>100</v>
      </c>
      <c r="C12" s="131">
        <v>1.84</v>
      </c>
      <c r="D12" s="26" t="s">
        <v>94</v>
      </c>
      <c r="E12" s="26">
        <v>5573.67</v>
      </c>
      <c r="F12" s="26">
        <f t="shared" si="0"/>
        <v>10255.552800000001</v>
      </c>
    </row>
    <row r="13" spans="1:6" ht="120">
      <c r="A13" s="26" t="s">
        <v>101</v>
      </c>
      <c r="B13" s="26" t="s">
        <v>102</v>
      </c>
      <c r="C13" s="131">
        <f>0.23+0.712</f>
        <v>0.94199999999999995</v>
      </c>
      <c r="D13" s="26" t="s">
        <v>94</v>
      </c>
      <c r="E13" s="26">
        <v>6308.87</v>
      </c>
      <c r="F13" s="26">
        <f t="shared" si="0"/>
        <v>5942.9555399999999</v>
      </c>
    </row>
    <row r="14" spans="1:6" ht="45">
      <c r="A14" s="26" t="s">
        <v>103</v>
      </c>
      <c r="B14" s="26" t="s">
        <v>104</v>
      </c>
      <c r="C14" s="131">
        <v>4.6719999999999997</v>
      </c>
      <c r="D14" s="26" t="s">
        <v>11</v>
      </c>
      <c r="E14" s="26">
        <v>435.82</v>
      </c>
      <c r="F14" s="26">
        <f t="shared" si="0"/>
        <v>2036.1510399999997</v>
      </c>
    </row>
    <row r="15" spans="1:6" ht="165">
      <c r="A15" s="26" t="s">
        <v>105</v>
      </c>
      <c r="B15" s="26" t="s">
        <v>106</v>
      </c>
      <c r="C15" s="131">
        <v>1.4E-2</v>
      </c>
      <c r="D15" s="26" t="s">
        <v>10</v>
      </c>
      <c r="E15" s="26">
        <v>83314.02</v>
      </c>
      <c r="F15" s="26">
        <f t="shared" si="0"/>
        <v>1166.3962800000002</v>
      </c>
    </row>
    <row r="16" spans="1:6">
      <c r="A16" s="26"/>
      <c r="B16" s="26" t="s">
        <v>107</v>
      </c>
      <c r="C16" s="131">
        <v>0.02</v>
      </c>
      <c r="D16" s="26" t="s">
        <v>10</v>
      </c>
      <c r="E16" s="26">
        <v>82096.539999999994</v>
      </c>
      <c r="F16" s="26">
        <f t="shared" si="0"/>
        <v>1641.9307999999999</v>
      </c>
    </row>
    <row r="17" spans="1:6" ht="90">
      <c r="A17" s="26" t="s">
        <v>108</v>
      </c>
      <c r="B17" s="26" t="s">
        <v>109</v>
      </c>
      <c r="C17" s="131">
        <v>11.68</v>
      </c>
      <c r="D17" s="26" t="s">
        <v>11</v>
      </c>
      <c r="E17" s="26">
        <v>189.13</v>
      </c>
      <c r="F17" s="26">
        <f t="shared" si="0"/>
        <v>2209.0383999999999</v>
      </c>
    </row>
    <row r="18" spans="1:6" ht="120">
      <c r="A18" s="26" t="s">
        <v>110</v>
      </c>
      <c r="B18" s="26" t="s">
        <v>111</v>
      </c>
      <c r="C18" s="131">
        <v>44.14</v>
      </c>
      <c r="D18" s="26" t="s">
        <v>11</v>
      </c>
      <c r="E18" s="26">
        <v>1289.6199999999999</v>
      </c>
      <c r="F18" s="26">
        <f t="shared" si="0"/>
        <v>56923.826799999995</v>
      </c>
    </row>
    <row r="19" spans="1:6" ht="105">
      <c r="A19" s="26" t="s">
        <v>112</v>
      </c>
      <c r="B19" s="26" t="s">
        <v>113</v>
      </c>
      <c r="C19" s="131">
        <f>4.67+4.91</f>
        <v>9.58</v>
      </c>
      <c r="D19" s="26" t="s">
        <v>91</v>
      </c>
      <c r="E19" s="26">
        <v>950.33</v>
      </c>
      <c r="F19" s="26">
        <f t="shared" si="0"/>
        <v>9104.1614000000009</v>
      </c>
    </row>
    <row r="20" spans="1:6" ht="225">
      <c r="A20" s="26" t="s">
        <v>114</v>
      </c>
      <c r="B20" s="26" t="s">
        <v>115</v>
      </c>
      <c r="C20" s="131">
        <v>214.9</v>
      </c>
      <c r="D20" s="26" t="s">
        <v>116</v>
      </c>
      <c r="E20" s="26">
        <f>612.25*0.868</f>
        <v>531.43299999999999</v>
      </c>
      <c r="F20" s="26">
        <f t="shared" si="0"/>
        <v>114204.95170000001</v>
      </c>
    </row>
    <row r="21" spans="1:6" ht="90">
      <c r="A21" s="26" t="s">
        <v>117</v>
      </c>
      <c r="B21" s="26" t="s">
        <v>118</v>
      </c>
      <c r="C21" s="131">
        <v>36.340000000000003</v>
      </c>
      <c r="D21" s="26" t="s">
        <v>119</v>
      </c>
      <c r="E21" s="26">
        <v>211.47</v>
      </c>
      <c r="F21" s="26">
        <f t="shared" si="0"/>
        <v>7684.8198000000011</v>
      </c>
    </row>
    <row r="22" spans="1:6" ht="90">
      <c r="A22" s="26" t="s">
        <v>120</v>
      </c>
      <c r="B22" s="26" t="s">
        <v>121</v>
      </c>
      <c r="C22" s="131">
        <f>9.67+3.42</f>
        <v>13.09</v>
      </c>
      <c r="D22" s="26" t="s">
        <v>11</v>
      </c>
      <c r="E22" s="26">
        <v>66.040000000000006</v>
      </c>
      <c r="F22" s="26">
        <f t="shared" si="0"/>
        <v>864.46360000000004</v>
      </c>
    </row>
    <row r="23" spans="1:6">
      <c r="A23" s="25">
        <v>18</v>
      </c>
      <c r="B23" s="26" t="s">
        <v>122</v>
      </c>
      <c r="C23" s="131">
        <v>1</v>
      </c>
      <c r="D23" s="26" t="s">
        <v>123</v>
      </c>
      <c r="E23" s="26">
        <v>225000</v>
      </c>
      <c r="F23" s="26">
        <f t="shared" si="0"/>
        <v>225000</v>
      </c>
    </row>
    <row r="24" spans="1:6" ht="60">
      <c r="A24" s="26" t="s">
        <v>124</v>
      </c>
      <c r="B24" s="26" t="s">
        <v>125</v>
      </c>
      <c r="C24" s="131">
        <v>10</v>
      </c>
      <c r="D24" s="26" t="s">
        <v>126</v>
      </c>
      <c r="E24" s="26">
        <v>326.85000000000002</v>
      </c>
      <c r="F24" s="26">
        <f t="shared" si="0"/>
        <v>3268.5</v>
      </c>
    </row>
    <row r="25" spans="1:6" ht="135">
      <c r="A25" s="26" t="s">
        <v>127</v>
      </c>
      <c r="B25" s="26" t="s">
        <v>128</v>
      </c>
      <c r="C25" s="131">
        <v>1.71</v>
      </c>
      <c r="D25" s="26" t="s">
        <v>91</v>
      </c>
      <c r="E25" s="26">
        <v>4283.1400000000003</v>
      </c>
      <c r="F25" s="26">
        <f t="shared" si="0"/>
        <v>7324.1694000000007</v>
      </c>
    </row>
    <row r="26" spans="1:6" ht="75">
      <c r="A26" s="26" t="s">
        <v>129</v>
      </c>
      <c r="B26" s="26" t="s">
        <v>130</v>
      </c>
      <c r="C26" s="131">
        <v>16.73</v>
      </c>
      <c r="D26" s="26" t="s">
        <v>11</v>
      </c>
      <c r="E26" s="26">
        <f>123.85*0.868</f>
        <v>107.50179999999999</v>
      </c>
      <c r="F26" s="26">
        <f t="shared" si="0"/>
        <v>1798.5051139999998</v>
      </c>
    </row>
    <row r="27" spans="1:6" ht="90">
      <c r="A27" s="26" t="s">
        <v>131</v>
      </c>
      <c r="B27" s="26" t="s">
        <v>132</v>
      </c>
      <c r="C27" s="131">
        <v>16.73</v>
      </c>
      <c r="D27" s="26" t="s">
        <v>11</v>
      </c>
      <c r="E27" s="26">
        <f>162.35*0.868</f>
        <v>140.91979999999998</v>
      </c>
      <c r="F27" s="26">
        <f t="shared" si="0"/>
        <v>2357.5882539999998</v>
      </c>
    </row>
    <row r="28" spans="1:6" ht="150">
      <c r="A28" s="26" t="s">
        <v>133</v>
      </c>
      <c r="B28" s="26" t="s">
        <v>134</v>
      </c>
      <c r="C28" s="131">
        <v>6.51</v>
      </c>
      <c r="D28" s="26" t="s">
        <v>91</v>
      </c>
      <c r="E28" s="26">
        <f>681.67*0.868</f>
        <v>591.68955999999991</v>
      </c>
      <c r="F28" s="26">
        <f t="shared" si="0"/>
        <v>3851.8990355999995</v>
      </c>
    </row>
    <row r="29" spans="1:6" ht="135">
      <c r="A29" s="26" t="s">
        <v>135</v>
      </c>
      <c r="B29" s="26" t="s">
        <v>136</v>
      </c>
      <c r="C29" s="131">
        <v>10</v>
      </c>
      <c r="D29" s="26" t="s">
        <v>119</v>
      </c>
      <c r="E29" s="26">
        <f>500.95*0.868</f>
        <v>434.82459999999998</v>
      </c>
      <c r="F29" s="26">
        <f t="shared" si="0"/>
        <v>4348.2460000000001</v>
      </c>
    </row>
    <row r="30" spans="1:6" ht="45">
      <c r="A30" s="26" t="s">
        <v>137</v>
      </c>
      <c r="B30" s="26" t="s">
        <v>138</v>
      </c>
      <c r="C30" s="131">
        <v>4</v>
      </c>
      <c r="D30" s="26" t="s">
        <v>139</v>
      </c>
      <c r="E30" s="26">
        <v>282.29000000000002</v>
      </c>
      <c r="F30" s="26">
        <f t="shared" si="0"/>
        <v>1129.1600000000001</v>
      </c>
    </row>
    <row r="31" spans="1:6" ht="75">
      <c r="A31" s="26" t="s">
        <v>140</v>
      </c>
      <c r="B31" s="26" t="s">
        <v>141</v>
      </c>
      <c r="C31" s="131">
        <v>4</v>
      </c>
      <c r="D31" s="26" t="s">
        <v>139</v>
      </c>
      <c r="E31" s="26">
        <v>354.59</v>
      </c>
      <c r="F31" s="26">
        <f t="shared" si="0"/>
        <v>1418.36</v>
      </c>
    </row>
    <row r="32" spans="1:6">
      <c r="A32" s="26">
        <v>27</v>
      </c>
      <c r="B32" s="26" t="s">
        <v>142</v>
      </c>
      <c r="C32" s="131">
        <v>1</v>
      </c>
      <c r="D32" s="26" t="s">
        <v>143</v>
      </c>
      <c r="E32" s="26">
        <v>19000</v>
      </c>
      <c r="F32" s="26">
        <f t="shared" si="0"/>
        <v>19000</v>
      </c>
    </row>
    <row r="33" spans="1:11">
      <c r="A33" s="25">
        <v>27</v>
      </c>
      <c r="B33" s="26" t="s">
        <v>144</v>
      </c>
      <c r="C33" s="26"/>
      <c r="D33" s="26"/>
      <c r="E33" s="26"/>
      <c r="F33" s="26"/>
    </row>
    <row r="34" spans="1:11">
      <c r="A34" s="26" t="s">
        <v>145</v>
      </c>
      <c r="B34" s="26" t="s">
        <v>146</v>
      </c>
      <c r="C34" s="26">
        <v>1.07</v>
      </c>
      <c r="D34" s="26" t="s">
        <v>94</v>
      </c>
      <c r="E34" s="26">
        <v>848.82</v>
      </c>
      <c r="F34" s="26">
        <f t="shared" si="0"/>
        <v>908.23740000000009</v>
      </c>
    </row>
    <row r="35" spans="1:11">
      <c r="A35" s="26" t="s">
        <v>147</v>
      </c>
      <c r="B35" s="26" t="s">
        <v>148</v>
      </c>
      <c r="C35" s="26">
        <v>0.32</v>
      </c>
      <c r="D35" s="26" t="s">
        <v>94</v>
      </c>
      <c r="E35" s="26">
        <v>447.06</v>
      </c>
      <c r="F35" s="26">
        <f t="shared" si="0"/>
        <v>143.0592</v>
      </c>
    </row>
    <row r="36" spans="1:11">
      <c r="A36" s="26" t="s">
        <v>149</v>
      </c>
      <c r="B36" s="26" t="s">
        <v>150</v>
      </c>
      <c r="C36" s="26">
        <f>1507+351</f>
        <v>1858</v>
      </c>
      <c r="D36" s="132" t="s">
        <v>151</v>
      </c>
      <c r="E36" s="26">
        <v>755.2</v>
      </c>
      <c r="F36" s="26">
        <f>1138.43+265.3</f>
        <v>1403.73</v>
      </c>
    </row>
    <row r="37" spans="1:11">
      <c r="A37" s="27"/>
      <c r="B37" s="28"/>
      <c r="C37" s="29"/>
      <c r="D37" s="25"/>
      <c r="E37" s="133" t="s">
        <v>59</v>
      </c>
      <c r="F37" s="134">
        <f>SUM(F5:F36)</f>
        <v>500990.13186359999</v>
      </c>
    </row>
    <row r="38" spans="1:11">
      <c r="A38" s="27"/>
      <c r="B38" s="28"/>
      <c r="C38" s="29"/>
      <c r="D38" s="25"/>
      <c r="E38" s="26" t="s">
        <v>60</v>
      </c>
      <c r="F38" s="26">
        <f>F37*18/100</f>
        <v>90178.223735447988</v>
      </c>
      <c r="K38" s="33"/>
    </row>
    <row r="39" spans="1:11">
      <c r="A39" s="27"/>
      <c r="B39" s="28"/>
      <c r="C39" s="29"/>
      <c r="D39" s="25"/>
      <c r="E39" s="26"/>
      <c r="F39" s="26">
        <f>F38+F37</f>
        <v>591168.35559904797</v>
      </c>
    </row>
    <row r="40" spans="1:11" ht="30">
      <c r="A40" s="27"/>
      <c r="B40" s="28"/>
      <c r="C40" s="29"/>
      <c r="D40" s="25"/>
      <c r="E40" s="26" t="s">
        <v>61</v>
      </c>
      <c r="F40" s="26">
        <f>F39*1/100</f>
        <v>5911.6835559904794</v>
      </c>
      <c r="K40" s="33"/>
    </row>
    <row r="41" spans="1:11">
      <c r="A41" s="27"/>
      <c r="B41" s="28"/>
      <c r="C41" s="29"/>
      <c r="D41" s="25"/>
      <c r="E41" s="26" t="s">
        <v>59</v>
      </c>
      <c r="F41" s="26">
        <f>F40+F39</f>
        <v>597080.03915503842</v>
      </c>
    </row>
  </sheetData>
  <mergeCells count="3">
    <mergeCell ref="A1:F1"/>
    <mergeCell ref="A2:F2"/>
    <mergeCell ref="A3:F3"/>
  </mergeCells>
  <conditionalFormatting sqref="E38:E1048576 E1:E36">
    <cfRule type="duplicateValues" dxfId="0" priority="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20"/>
  <sheetViews>
    <sheetView workbookViewId="0">
      <selection activeCell="A3" sqref="A3:F3"/>
    </sheetView>
  </sheetViews>
  <sheetFormatPr defaultRowHeight="15"/>
  <cols>
    <col min="1" max="1" width="7.85546875" customWidth="1"/>
    <col min="2" max="2" width="50.28515625" customWidth="1"/>
    <col min="3" max="3" width="12.5703125" customWidth="1"/>
    <col min="4" max="4" width="8.85546875" customWidth="1"/>
    <col min="5" max="5" width="14.28515625" customWidth="1"/>
    <col min="6" max="6" width="19.85546875" customWidth="1"/>
  </cols>
  <sheetData>
    <row r="1" spans="1:7" ht="27">
      <c r="A1" s="414" t="s">
        <v>0</v>
      </c>
      <c r="B1" s="414"/>
      <c r="C1" s="414"/>
      <c r="D1" s="414"/>
      <c r="E1" s="414"/>
      <c r="F1" s="414"/>
      <c r="G1" s="159"/>
    </row>
    <row r="2" spans="1:7" ht="25.5" customHeight="1">
      <c r="A2" s="415" t="s">
        <v>75</v>
      </c>
      <c r="B2" s="416"/>
      <c r="C2" s="416"/>
      <c r="D2" s="416"/>
      <c r="E2" s="416"/>
      <c r="F2" s="416"/>
      <c r="G2" s="159"/>
    </row>
    <row r="3" spans="1:7" ht="28.5" customHeight="1">
      <c r="A3" s="417" t="s">
        <v>255</v>
      </c>
      <c r="B3" s="417"/>
      <c r="C3" s="417"/>
      <c r="D3" s="417"/>
      <c r="E3" s="417"/>
      <c r="F3" s="417"/>
      <c r="G3" s="159"/>
    </row>
    <row r="4" spans="1:7">
      <c r="A4" s="160" t="s">
        <v>234</v>
      </c>
      <c r="B4" s="160" t="s">
        <v>235</v>
      </c>
      <c r="C4" s="160" t="s">
        <v>236</v>
      </c>
      <c r="D4" s="160" t="s">
        <v>5</v>
      </c>
      <c r="E4" s="161" t="s">
        <v>38</v>
      </c>
      <c r="F4" s="162" t="s">
        <v>39</v>
      </c>
      <c r="G4" s="159"/>
    </row>
    <row r="5" spans="1:7" ht="54.75" customHeight="1">
      <c r="A5" s="163">
        <v>1</v>
      </c>
      <c r="B5" s="164" t="s">
        <v>40</v>
      </c>
      <c r="C5" s="163">
        <v>5</v>
      </c>
      <c r="D5" s="163" t="s">
        <v>41</v>
      </c>
      <c r="E5" s="165">
        <v>326.85000000000002</v>
      </c>
      <c r="F5" s="166">
        <f>C5*E5</f>
        <v>1634.25</v>
      </c>
      <c r="G5" s="159"/>
    </row>
    <row r="6" spans="1:7" ht="63.75">
      <c r="A6" s="167" t="str">
        <f>[9]Estimate!A6</f>
        <v xml:space="preserve">2.     RCD  5.02 (iii) </v>
      </c>
      <c r="B6" s="164" t="s">
        <v>256</v>
      </c>
      <c r="C6" s="163">
        <v>1242.19</v>
      </c>
      <c r="D6" s="163" t="s">
        <v>91</v>
      </c>
      <c r="E6" s="165">
        <v>18.600000000000001</v>
      </c>
      <c r="F6" s="166">
        <f>ROUND(E6*C6,2)</f>
        <v>23104.73</v>
      </c>
      <c r="G6" s="169"/>
    </row>
    <row r="7" spans="1:7" ht="199.5">
      <c r="A7" s="167" t="str">
        <f>[9]Estimate!A11</f>
        <v xml:space="preserve">3.   RCD 5.03 (i) </v>
      </c>
      <c r="B7" s="168" t="s">
        <v>257</v>
      </c>
      <c r="C7" s="165">
        <v>32.18</v>
      </c>
      <c r="D7" s="163" t="s">
        <v>94</v>
      </c>
      <c r="E7" s="170">
        <v>7320.3</v>
      </c>
      <c r="F7" s="166">
        <f t="shared" ref="F7:F8" si="0">ROUND(E7*C7,2)</f>
        <v>235567.25</v>
      </c>
      <c r="G7" s="159"/>
    </row>
    <row r="8" spans="1:7" ht="173.25" customHeight="1">
      <c r="A8" s="167" t="str">
        <f>[9]Estimate!A18</f>
        <v xml:space="preserve">4.    RCD  5.05 (A) </v>
      </c>
      <c r="B8" s="168" t="s">
        <v>258</v>
      </c>
      <c r="C8" s="165">
        <v>24.6</v>
      </c>
      <c r="D8" s="171" t="s">
        <v>94</v>
      </c>
      <c r="E8" s="170">
        <v>10656</v>
      </c>
      <c r="F8" s="166">
        <f t="shared" si="0"/>
        <v>262137.60000000001</v>
      </c>
      <c r="G8" s="159"/>
    </row>
    <row r="9" spans="1:7" ht="142.5">
      <c r="A9" s="167" t="str">
        <f>[9]Estimate!A23</f>
        <v xml:space="preserve">5.   RCD  8.13 </v>
      </c>
      <c r="B9" s="168" t="s">
        <v>259</v>
      </c>
      <c r="C9" s="165">
        <v>28.22</v>
      </c>
      <c r="D9" s="163" t="s">
        <v>91</v>
      </c>
      <c r="E9" s="165">
        <v>584.29999999999995</v>
      </c>
      <c r="F9" s="166">
        <f>ROUND(E9*C9,2)</f>
        <v>16488.95</v>
      </c>
      <c r="G9" s="159"/>
    </row>
    <row r="10" spans="1:7">
      <c r="A10" s="163">
        <v>6</v>
      </c>
      <c r="B10" s="172" t="s">
        <v>144</v>
      </c>
      <c r="C10" s="173"/>
      <c r="D10" s="173"/>
      <c r="E10" s="174"/>
      <c r="F10" s="166"/>
      <c r="G10" s="159"/>
    </row>
    <row r="11" spans="1:7" ht="25.5" customHeight="1">
      <c r="A11" s="163" t="s">
        <v>13</v>
      </c>
      <c r="B11" s="175" t="s">
        <v>260</v>
      </c>
      <c r="C11" s="165">
        <v>82.02</v>
      </c>
      <c r="D11" s="163" t="s">
        <v>94</v>
      </c>
      <c r="E11" s="176">
        <v>447.06</v>
      </c>
      <c r="F11" s="166">
        <f>ROUND(E11*C11,2)</f>
        <v>36667.86</v>
      </c>
      <c r="G11" s="159"/>
    </row>
    <row r="12" spans="1:7" ht="25.5" customHeight="1">
      <c r="A12" s="173"/>
      <c r="B12" s="173"/>
      <c r="C12" s="173"/>
      <c r="D12" s="173"/>
      <c r="E12" s="174" t="s">
        <v>24</v>
      </c>
      <c r="F12" s="166">
        <f>SUM(F5:F11)</f>
        <v>575600.64000000001</v>
      </c>
      <c r="G12" s="159"/>
    </row>
    <row r="13" spans="1:7" ht="25.5" customHeight="1">
      <c r="A13" s="178"/>
      <c r="B13" s="418" t="s">
        <v>25</v>
      </c>
      <c r="C13" s="419"/>
      <c r="D13" s="419"/>
      <c r="E13" s="420"/>
      <c r="F13" s="26">
        <f>F12*0.18</f>
        <v>103608.1152</v>
      </c>
      <c r="G13" s="159"/>
    </row>
    <row r="14" spans="1:7" ht="25.5" customHeight="1">
      <c r="A14" s="178"/>
      <c r="B14" s="418" t="s">
        <v>24</v>
      </c>
      <c r="C14" s="419"/>
      <c r="D14" s="419"/>
      <c r="E14" s="420"/>
      <c r="F14" s="26">
        <f>F13+F12</f>
        <v>679208.75520000001</v>
      </c>
      <c r="G14" s="159"/>
    </row>
    <row r="15" spans="1:7" ht="25.5" customHeight="1">
      <c r="A15" s="178"/>
      <c r="B15" s="418" t="s">
        <v>71</v>
      </c>
      <c r="C15" s="419"/>
      <c r="D15" s="419"/>
      <c r="E15" s="420"/>
      <c r="F15" s="26">
        <f>F14*0.01</f>
        <v>6792.087552</v>
      </c>
      <c r="G15" s="159"/>
    </row>
    <row r="16" spans="1:7" ht="25.5" customHeight="1">
      <c r="A16" s="178"/>
      <c r="B16" s="411" t="s">
        <v>254</v>
      </c>
      <c r="C16" s="412"/>
      <c r="D16" s="412"/>
      <c r="E16" s="413"/>
      <c r="F16" s="134">
        <f>F15+F14</f>
        <v>686000.84275199997</v>
      </c>
      <c r="G16" s="159"/>
    </row>
    <row r="17" spans="1:7">
      <c r="A17" s="179"/>
      <c r="B17" s="159"/>
      <c r="C17" s="159"/>
      <c r="D17" s="159"/>
      <c r="E17" s="159"/>
      <c r="F17" s="159"/>
      <c r="G17" s="159"/>
    </row>
    <row r="18" spans="1:7">
      <c r="A18" s="180"/>
      <c r="B18" s="159"/>
      <c r="C18" s="159"/>
      <c r="D18" s="159"/>
      <c r="E18" s="159"/>
      <c r="F18" s="159"/>
      <c r="G18" s="159"/>
    </row>
    <row r="19" spans="1:7" ht="21">
      <c r="A19" s="159"/>
      <c r="B19" s="181"/>
      <c r="C19" s="181"/>
      <c r="D19" s="181"/>
      <c r="E19" s="182"/>
      <c r="F19" s="19"/>
      <c r="G19" s="159"/>
    </row>
    <row r="20" spans="1:7">
      <c r="A20" s="159"/>
      <c r="B20" s="159"/>
      <c r="C20" s="159"/>
      <c r="D20" s="159"/>
      <c r="E20" s="183"/>
      <c r="F20" s="184"/>
      <c r="G20" s="159"/>
    </row>
  </sheetData>
  <mergeCells count="7">
    <mergeCell ref="B16:E16"/>
    <mergeCell ref="A1:F1"/>
    <mergeCell ref="A2:F2"/>
    <mergeCell ref="A3:F3"/>
    <mergeCell ref="B13:E13"/>
    <mergeCell ref="B14:E14"/>
    <mergeCell ref="B15:E15"/>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G32"/>
  <sheetViews>
    <sheetView topLeftCell="A19" workbookViewId="0">
      <selection activeCell="F28" sqref="F28"/>
    </sheetView>
  </sheetViews>
  <sheetFormatPr defaultRowHeight="15"/>
  <cols>
    <col min="1" max="1" width="7.85546875" customWidth="1"/>
    <col min="2" max="2" width="50.28515625" customWidth="1"/>
    <col min="3" max="3" width="12.5703125" customWidth="1"/>
    <col min="4" max="4" width="8.85546875" customWidth="1"/>
    <col min="5" max="5" width="14.28515625" customWidth="1"/>
    <col min="6" max="6" width="24.85546875" customWidth="1"/>
  </cols>
  <sheetData>
    <row r="1" spans="1:7" ht="27">
      <c r="A1" s="414" t="s">
        <v>0</v>
      </c>
      <c r="B1" s="414"/>
      <c r="C1" s="414"/>
      <c r="D1" s="414"/>
      <c r="E1" s="414"/>
      <c r="F1" s="414"/>
      <c r="G1" s="159"/>
    </row>
    <row r="2" spans="1:7" ht="25.5" customHeight="1">
      <c r="A2" s="415" t="s">
        <v>75</v>
      </c>
      <c r="B2" s="416"/>
      <c r="C2" s="416"/>
      <c r="D2" s="416"/>
      <c r="E2" s="416"/>
      <c r="F2" s="416"/>
      <c r="G2" s="159"/>
    </row>
    <row r="3" spans="1:7" ht="57.75" customHeight="1">
      <c r="A3" s="421" t="s">
        <v>390</v>
      </c>
      <c r="B3" s="421"/>
      <c r="C3" s="421"/>
      <c r="D3" s="421"/>
      <c r="E3" s="421"/>
      <c r="F3" s="421"/>
      <c r="G3" s="159"/>
    </row>
    <row r="4" spans="1:7">
      <c r="A4" s="160" t="s">
        <v>234</v>
      </c>
      <c r="B4" s="160" t="s">
        <v>235</v>
      </c>
      <c r="C4" s="160" t="s">
        <v>236</v>
      </c>
      <c r="D4" s="160" t="s">
        <v>5</v>
      </c>
      <c r="E4" s="161" t="s">
        <v>38</v>
      </c>
      <c r="F4" s="162" t="s">
        <v>39</v>
      </c>
      <c r="G4" s="159"/>
    </row>
    <row r="5" spans="1:7" ht="54.75" customHeight="1">
      <c r="A5" s="163">
        <v>1</v>
      </c>
      <c r="B5" s="164" t="s">
        <v>40</v>
      </c>
      <c r="C5" s="163">
        <v>5</v>
      </c>
      <c r="D5" s="163" t="s">
        <v>41</v>
      </c>
      <c r="E5" s="165">
        <v>326.85000000000002</v>
      </c>
      <c r="F5" s="166">
        <f>C5*E5</f>
        <v>1634.25</v>
      </c>
      <c r="G5" s="159"/>
    </row>
    <row r="6" spans="1:7" ht="140.25" customHeight="1">
      <c r="A6" s="167" t="str">
        <f>'[10]DETAILED ESTIMATE'!$A$5</f>
        <v>2.       (J.B.C.D 5.1.1+ 5.1.2)</v>
      </c>
      <c r="B6" s="168" t="str">
        <f>'[10]DETAILED ESTIMATE'!$B$5</f>
        <v xml:space="preserve"> 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v>
      </c>
      <c r="C6" s="165">
        <v>36.159999999999997</v>
      </c>
      <c r="D6" s="163" t="s">
        <v>94</v>
      </c>
      <c r="E6" s="165">
        <f>'[10]DETAILED ESTIMATE'!$I$9</f>
        <v>151.82</v>
      </c>
      <c r="F6" s="166">
        <f t="shared" ref="F6:F23" si="0">C6*E6</f>
        <v>5489.8111999999992</v>
      </c>
      <c r="G6" s="169"/>
    </row>
    <row r="7" spans="1:7" ht="109.5" customHeight="1">
      <c r="A7" s="167" t="s">
        <v>237</v>
      </c>
      <c r="B7" s="168" t="str">
        <f>'[10]DETAILED ESTIMATE'!$B$10</f>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v>
      </c>
      <c r="C7" s="165">
        <v>3.4</v>
      </c>
      <c r="D7" s="163" t="s">
        <v>94</v>
      </c>
      <c r="E7" s="170">
        <v>589.51</v>
      </c>
      <c r="F7" s="166">
        <f t="shared" si="0"/>
        <v>2004.3339999999998</v>
      </c>
      <c r="G7" s="159"/>
    </row>
    <row r="8" spans="1:7" ht="78" customHeight="1">
      <c r="A8" s="167" t="s">
        <v>238</v>
      </c>
      <c r="B8" s="168" t="str">
        <f>'[10]DETAILED ESTIMATE'!$B$15</f>
        <v xml:space="preserve"> Supplying and laying (properly as per design and drawing )rip-rap with good quality of boulders duly packed including the cost of materials,royalty all taxes etc.but excluding the cost of carriage, all complete as per specification and direction of E/I.</v>
      </c>
      <c r="C8" s="165">
        <v>5.57</v>
      </c>
      <c r="D8" s="171" t="s">
        <v>94</v>
      </c>
      <c r="E8" s="170">
        <v>1756.4</v>
      </c>
      <c r="F8" s="166">
        <f t="shared" si="0"/>
        <v>9783.148000000001</v>
      </c>
      <c r="G8" s="159"/>
    </row>
    <row r="9" spans="1:7" ht="97.5" customHeight="1">
      <c r="A9" s="167" t="str">
        <f>'[10]DETAILED ESTIMATE'!$A$20</f>
        <v>5.             J.B.C.D.  5.3.10</v>
      </c>
      <c r="B9" s="168" t="str">
        <f>'[10]DETAILED ESTIMATE'!$B$20</f>
        <v>Reinforced cement concrete work in walls (any thickness), including attached pilasters, piers, abutments, posts and struts etc.above plinth level, excluding cost of centering, shuttering, finishing and reinforce:      1:1.5:3 (1 cement:1.5:coarse sand (zone-III):3 graded stone aggregate 20 mm nominal size)</v>
      </c>
      <c r="C9" s="165">
        <v>14.95</v>
      </c>
      <c r="D9" s="171" t="s">
        <v>94</v>
      </c>
      <c r="E9" s="165">
        <v>6082.45</v>
      </c>
      <c r="F9" s="166">
        <f t="shared" si="0"/>
        <v>90932.627499999988</v>
      </c>
      <c r="G9" s="159"/>
    </row>
    <row r="10" spans="1:7" ht="71.25">
      <c r="A10" s="167" t="str">
        <f>'[10]DETAILED ESTIMATE'!$A$25</f>
        <v>6.   (J.B.C.D.-5.5.4  + 5.5.5a</v>
      </c>
      <c r="B10" s="168" t="str">
        <f>'[10]DETAILED ESTIMATE'!$B$25</f>
        <v xml:space="preserve">Providing Tor steel reinforcement of 10mm and 8mm dia bars as per approved design and drawing -----do-----do-----(a)10mm(TMT coil Fe 500)(Only valid for SAIL , TATA Steel) @2.5Kg/cft  </v>
      </c>
      <c r="C10" s="165"/>
      <c r="D10" s="163"/>
      <c r="E10" s="165"/>
      <c r="F10" s="166"/>
      <c r="G10" s="159"/>
    </row>
    <row r="11" spans="1:7">
      <c r="A11" s="167"/>
      <c r="B11" s="168" t="s">
        <v>239</v>
      </c>
      <c r="C11" s="165">
        <v>0.59</v>
      </c>
      <c r="D11" s="163" t="s">
        <v>10</v>
      </c>
      <c r="E11" s="165">
        <v>83314.02</v>
      </c>
      <c r="F11" s="166">
        <f t="shared" si="0"/>
        <v>49155.271800000002</v>
      </c>
      <c r="G11" s="159"/>
    </row>
    <row r="12" spans="1:7">
      <c r="A12" s="167"/>
      <c r="B12" s="168" t="s">
        <v>240</v>
      </c>
      <c r="C12" s="165">
        <v>0.73</v>
      </c>
      <c r="D12" s="163" t="s">
        <v>10</v>
      </c>
      <c r="E12" s="165">
        <v>82096.539999999994</v>
      </c>
      <c r="F12" s="166">
        <f t="shared" si="0"/>
        <v>59930.474199999997</v>
      </c>
      <c r="G12" s="159"/>
    </row>
    <row r="13" spans="1:7">
      <c r="A13" s="167"/>
      <c r="B13" s="168"/>
      <c r="C13" s="165"/>
      <c r="D13" s="163"/>
      <c r="E13" s="165" t="s">
        <v>241</v>
      </c>
      <c r="F13" s="166">
        <f>SUM(F5:F12)</f>
        <v>218929.9167</v>
      </c>
      <c r="G13" s="159"/>
    </row>
    <row r="14" spans="1:7">
      <c r="A14" s="167"/>
      <c r="B14" s="168"/>
      <c r="C14" s="165"/>
      <c r="D14" s="163"/>
      <c r="E14" s="165" t="s">
        <v>242</v>
      </c>
      <c r="F14" s="166">
        <f>F13</f>
        <v>218929.9167</v>
      </c>
      <c r="G14" s="159"/>
    </row>
    <row r="15" spans="1:7" ht="60" customHeight="1">
      <c r="A15" s="167" t="s">
        <v>243</v>
      </c>
      <c r="B15" s="168" t="str">
        <f>'[10]DETAILED ESTIMATE'!$B$44</f>
        <v>Providing  Precast R.C.C M 200 in nominal mix (1:1.5:3) in slab ……..do…..all complete as per specification and direction of E/I.</v>
      </c>
      <c r="C15" s="165">
        <v>4.53</v>
      </c>
      <c r="D15" s="163" t="s">
        <v>94</v>
      </c>
      <c r="E15" s="165">
        <v>6308.87</v>
      </c>
      <c r="F15" s="166">
        <f t="shared" si="0"/>
        <v>28579.181100000002</v>
      </c>
      <c r="G15" s="159"/>
    </row>
    <row r="16" spans="1:7" ht="42.75">
      <c r="A16" s="167" t="s">
        <v>244</v>
      </c>
      <c r="B16" s="168" t="str">
        <f>'[10]DETAILED ESTIMATE'!$B$49</f>
        <v>Providing  Tor steel reinforcement of 10mm dia  bars as per approved design and drawing –do-- --do—</v>
      </c>
      <c r="C16" s="165">
        <v>0.4</v>
      </c>
      <c r="D16" s="163" t="s">
        <v>10</v>
      </c>
      <c r="E16" s="165">
        <v>82096.539999999994</v>
      </c>
      <c r="F16" s="166">
        <f t="shared" si="0"/>
        <v>32838.616000000002</v>
      </c>
      <c r="G16" s="159"/>
    </row>
    <row r="17" spans="1:7" ht="57">
      <c r="A17" s="167" t="s">
        <v>245</v>
      </c>
      <c r="B17" s="168" t="str">
        <f>'[10]DETAILED ESTIMATE'!$B$53</f>
        <v>Centering and shuttering including strutting, propping etc . And removal of form for foundation ,footings, base of columns, etc. for mass concrete</v>
      </c>
      <c r="C17" s="165">
        <v>136.05000000000001</v>
      </c>
      <c r="D17" s="163" t="s">
        <v>91</v>
      </c>
      <c r="E17" s="165">
        <v>194.5</v>
      </c>
      <c r="F17" s="166">
        <f t="shared" si="0"/>
        <v>26461.725000000002</v>
      </c>
      <c r="G17" s="159"/>
    </row>
    <row r="18" spans="1:7">
      <c r="A18" s="163">
        <v>10</v>
      </c>
      <c r="B18" s="172" t="s">
        <v>144</v>
      </c>
      <c r="C18" s="173"/>
      <c r="D18" s="173"/>
      <c r="E18" s="174"/>
      <c r="F18" s="166"/>
      <c r="G18" s="159"/>
    </row>
    <row r="19" spans="1:7" ht="25.5" customHeight="1">
      <c r="A19" s="163" t="s">
        <v>145</v>
      </c>
      <c r="B19" s="175" t="s">
        <v>246</v>
      </c>
      <c r="C19" s="165">
        <v>8.3800000000000008</v>
      </c>
      <c r="D19" s="163" t="s">
        <v>94</v>
      </c>
      <c r="E19" s="176">
        <v>848.82</v>
      </c>
      <c r="F19" s="166">
        <f t="shared" si="0"/>
        <v>7113.1116000000011</v>
      </c>
      <c r="G19" s="159"/>
    </row>
    <row r="20" spans="1:7" ht="25.5" customHeight="1">
      <c r="A20" s="163" t="s">
        <v>147</v>
      </c>
      <c r="B20" s="175" t="s">
        <v>247</v>
      </c>
      <c r="C20" s="165">
        <f>C7</f>
        <v>3.4</v>
      </c>
      <c r="D20" s="163" t="s">
        <v>248</v>
      </c>
      <c r="E20" s="176">
        <v>313.14</v>
      </c>
      <c r="F20" s="166">
        <f t="shared" si="0"/>
        <v>1064.6759999999999</v>
      </c>
      <c r="G20" s="159"/>
    </row>
    <row r="21" spans="1:7" ht="25.5" customHeight="1">
      <c r="A21" s="163" t="s">
        <v>149</v>
      </c>
      <c r="B21" s="177" t="s">
        <v>249</v>
      </c>
      <c r="C21" s="165">
        <v>16.75</v>
      </c>
      <c r="D21" s="163" t="s">
        <v>250</v>
      </c>
      <c r="E21" s="176">
        <v>447.06</v>
      </c>
      <c r="F21" s="166">
        <f t="shared" si="0"/>
        <v>7488.2550000000001</v>
      </c>
      <c r="G21" s="159"/>
    </row>
    <row r="22" spans="1:7" ht="25.5" customHeight="1">
      <c r="A22" s="163" t="s">
        <v>204</v>
      </c>
      <c r="B22" s="177" t="s">
        <v>251</v>
      </c>
      <c r="C22" s="165">
        <f>C8</f>
        <v>5.57</v>
      </c>
      <c r="D22" s="163" t="s">
        <v>252</v>
      </c>
      <c r="E22" s="176">
        <v>679.66</v>
      </c>
      <c r="F22" s="166">
        <f t="shared" si="0"/>
        <v>3785.7062000000001</v>
      </c>
      <c r="G22" s="159"/>
    </row>
    <row r="23" spans="1:7" ht="25.5" customHeight="1">
      <c r="A23" s="163" t="s">
        <v>206</v>
      </c>
      <c r="B23" s="175" t="str">
        <f>'[10]DETAILED ESTIMATE'!$B$64</f>
        <v>EARTH-LEAD-1km</v>
      </c>
      <c r="C23" s="165">
        <f>C6</f>
        <v>36.159999999999997</v>
      </c>
      <c r="D23" s="163" t="s">
        <v>253</v>
      </c>
      <c r="E23" s="176">
        <v>117.54</v>
      </c>
      <c r="F23" s="166">
        <f t="shared" si="0"/>
        <v>4250.2464</v>
      </c>
      <c r="G23" s="159"/>
    </row>
    <row r="24" spans="1:7" ht="25.5" customHeight="1">
      <c r="A24" s="173"/>
      <c r="B24" s="173"/>
      <c r="C24" s="173"/>
      <c r="D24" s="173"/>
      <c r="E24" s="174" t="s">
        <v>24</v>
      </c>
      <c r="F24" s="166">
        <f>SUM(F14:F23)</f>
        <v>330511.43399999995</v>
      </c>
      <c r="G24" s="159"/>
    </row>
    <row r="25" spans="1:7" ht="25.5" customHeight="1">
      <c r="A25" s="178"/>
      <c r="B25" s="418" t="s">
        <v>25</v>
      </c>
      <c r="C25" s="419"/>
      <c r="D25" s="419"/>
      <c r="E25" s="420"/>
      <c r="F25" s="26">
        <f>F24*0.18</f>
        <v>59492.058119999987</v>
      </c>
      <c r="G25" s="159"/>
    </row>
    <row r="26" spans="1:7" ht="25.5" customHeight="1">
      <c r="A26" s="178"/>
      <c r="B26" s="418" t="s">
        <v>24</v>
      </c>
      <c r="C26" s="419"/>
      <c r="D26" s="419"/>
      <c r="E26" s="420"/>
      <c r="F26" s="26">
        <f>F25+F24</f>
        <v>390003.49211999995</v>
      </c>
      <c r="G26" s="159"/>
    </row>
    <row r="27" spans="1:7" ht="25.5" customHeight="1">
      <c r="A27" s="178"/>
      <c r="B27" s="418" t="s">
        <v>71</v>
      </c>
      <c r="C27" s="419"/>
      <c r="D27" s="419"/>
      <c r="E27" s="420"/>
      <c r="F27" s="26">
        <f>F26*0.01</f>
        <v>3900.0349211999996</v>
      </c>
      <c r="G27" s="159"/>
    </row>
    <row r="28" spans="1:7" ht="25.5" customHeight="1">
      <c r="A28" s="178"/>
      <c r="B28" s="411" t="s">
        <v>254</v>
      </c>
      <c r="C28" s="412"/>
      <c r="D28" s="412"/>
      <c r="E28" s="413"/>
      <c r="F28" s="134">
        <f>F27+F26</f>
        <v>393903.52704119997</v>
      </c>
      <c r="G28" s="159"/>
    </row>
    <row r="29" spans="1:7">
      <c r="A29" s="179"/>
      <c r="B29" s="159"/>
      <c r="C29" s="159"/>
      <c r="D29" s="159"/>
      <c r="E29" s="159"/>
      <c r="F29" s="159"/>
      <c r="G29" s="159"/>
    </row>
    <row r="30" spans="1:7">
      <c r="A30" s="180"/>
      <c r="B30" s="159"/>
      <c r="C30" s="159"/>
      <c r="D30" s="159"/>
      <c r="E30" s="159"/>
      <c r="F30" s="159"/>
      <c r="G30" s="159"/>
    </row>
    <row r="31" spans="1:7" ht="21">
      <c r="A31" s="159"/>
      <c r="B31" s="181"/>
      <c r="C31" s="181"/>
      <c r="D31" s="181"/>
      <c r="E31" s="182"/>
      <c r="F31" s="19"/>
      <c r="G31" s="159"/>
    </row>
    <row r="32" spans="1:7">
      <c r="A32" s="159"/>
      <c r="B32" s="159"/>
      <c r="C32" s="159"/>
      <c r="D32" s="159"/>
      <c r="E32" s="183"/>
      <c r="F32" s="184"/>
      <c r="G32" s="159"/>
    </row>
  </sheetData>
  <mergeCells count="7">
    <mergeCell ref="B28:E28"/>
    <mergeCell ref="A1:F1"/>
    <mergeCell ref="A2:F2"/>
    <mergeCell ref="A3:F3"/>
    <mergeCell ref="B25:E25"/>
    <mergeCell ref="B26:E26"/>
    <mergeCell ref="B27:E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G25"/>
  <sheetViews>
    <sheetView topLeftCell="A13" workbookViewId="0">
      <selection activeCell="A3" sqref="A3:F3"/>
    </sheetView>
  </sheetViews>
  <sheetFormatPr defaultRowHeight="15"/>
  <cols>
    <col min="1" max="1" width="8.85546875" style="30" customWidth="1"/>
    <col min="2" max="2" width="42.85546875" style="31" customWidth="1"/>
    <col min="3" max="3" width="13.7109375" style="23" bestFit="1" customWidth="1"/>
    <col min="4" max="4" width="9.140625" style="32"/>
    <col min="5" max="5" width="12.140625" style="23" customWidth="1"/>
    <col min="6" max="6" width="16.42578125" style="33" customWidth="1"/>
    <col min="7" max="7" width="22.140625" style="23" hidden="1" customWidth="1"/>
    <col min="8" max="16384" width="9.140625" style="23"/>
  </cols>
  <sheetData>
    <row r="1" spans="1:6" ht="18.75">
      <c r="A1" s="380" t="s">
        <v>0</v>
      </c>
      <c r="B1" s="380"/>
      <c r="C1" s="380"/>
      <c r="D1" s="380"/>
      <c r="E1" s="380"/>
      <c r="F1" s="380"/>
    </row>
    <row r="2" spans="1:6" ht="18.75">
      <c r="A2" s="380" t="s">
        <v>33</v>
      </c>
      <c r="B2" s="380"/>
      <c r="C2" s="380"/>
      <c r="D2" s="380"/>
      <c r="E2" s="380"/>
      <c r="F2" s="380"/>
    </row>
    <row r="3" spans="1:6" ht="51.75" customHeight="1">
      <c r="A3" s="422" t="s">
        <v>34</v>
      </c>
      <c r="B3" s="423"/>
      <c r="C3" s="423"/>
      <c r="D3" s="423"/>
      <c r="E3" s="423"/>
      <c r="F3" s="424"/>
    </row>
    <row r="4" spans="1:6">
      <c r="A4" s="24" t="s">
        <v>35</v>
      </c>
      <c r="B4" s="24" t="s">
        <v>36</v>
      </c>
      <c r="C4" s="24" t="s">
        <v>37</v>
      </c>
      <c r="D4" s="24" t="s">
        <v>5</v>
      </c>
      <c r="E4" s="24" t="s">
        <v>38</v>
      </c>
      <c r="F4" s="24" t="s">
        <v>39</v>
      </c>
    </row>
    <row r="5" spans="1:6" ht="30">
      <c r="A5" s="25">
        <v>1</v>
      </c>
      <c r="B5" s="26" t="s">
        <v>40</v>
      </c>
      <c r="C5" s="26">
        <v>5</v>
      </c>
      <c r="D5" s="26" t="s">
        <v>41</v>
      </c>
      <c r="E5" s="26">
        <v>326.85000000000002</v>
      </c>
      <c r="F5" s="26">
        <f>C5*E5</f>
        <v>1634.25</v>
      </c>
    </row>
    <row r="6" spans="1:6" ht="45">
      <c r="A6" s="26" t="s">
        <v>42</v>
      </c>
      <c r="B6" s="26" t="s">
        <v>43</v>
      </c>
      <c r="C6" s="26">
        <v>4.93</v>
      </c>
      <c r="D6" s="26" t="s">
        <v>15</v>
      </c>
      <c r="E6" s="26">
        <v>955.89</v>
      </c>
      <c r="F6" s="26">
        <f t="shared" ref="F6:F20" si="0">C6*E6</f>
        <v>4712.5376999999999</v>
      </c>
    </row>
    <row r="7" spans="1:6" ht="120">
      <c r="A7" s="26" t="s">
        <v>44</v>
      </c>
      <c r="B7" s="26" t="s">
        <v>9</v>
      </c>
      <c r="C7" s="26">
        <v>39.92</v>
      </c>
      <c r="D7" s="26" t="s">
        <v>15</v>
      </c>
      <c r="E7" s="26">
        <v>151.82</v>
      </c>
      <c r="F7" s="26">
        <f t="shared" si="0"/>
        <v>6060.6544000000004</v>
      </c>
    </row>
    <row r="8" spans="1:6" ht="120">
      <c r="A8" s="26" t="s">
        <v>45</v>
      </c>
      <c r="B8" s="26" t="s">
        <v>46</v>
      </c>
      <c r="C8" s="26">
        <v>3.99</v>
      </c>
      <c r="D8" s="26" t="s">
        <v>15</v>
      </c>
      <c r="E8" s="26">
        <v>589.51</v>
      </c>
      <c r="F8" s="26">
        <f t="shared" si="0"/>
        <v>2352.1449000000002</v>
      </c>
    </row>
    <row r="9" spans="1:6" ht="90">
      <c r="A9" s="26" t="s">
        <v>47</v>
      </c>
      <c r="B9" s="26" t="s">
        <v>48</v>
      </c>
      <c r="C9" s="26">
        <v>6.55</v>
      </c>
      <c r="D9" s="26" t="s">
        <v>15</v>
      </c>
      <c r="E9" s="26">
        <v>1756.4</v>
      </c>
      <c r="F9" s="26">
        <f t="shared" si="0"/>
        <v>11504.42</v>
      </c>
    </row>
    <row r="10" spans="1:6" ht="135">
      <c r="A10" s="26" t="s">
        <v>49</v>
      </c>
      <c r="B10" s="26" t="s">
        <v>50</v>
      </c>
      <c r="C10" s="26">
        <v>19.77</v>
      </c>
      <c r="D10" s="26" t="s">
        <v>15</v>
      </c>
      <c r="E10" s="26">
        <v>6082.45</v>
      </c>
      <c r="F10" s="26">
        <f t="shared" si="0"/>
        <v>120250.03649999999</v>
      </c>
    </row>
    <row r="11" spans="1:6" ht="135">
      <c r="A11" s="26" t="s">
        <v>51</v>
      </c>
      <c r="B11" s="26" t="s">
        <v>52</v>
      </c>
      <c r="C11" s="26">
        <v>5.89</v>
      </c>
      <c r="D11" s="26" t="s">
        <v>15</v>
      </c>
      <c r="E11" s="26">
        <v>6308.87</v>
      </c>
      <c r="F11" s="26">
        <f t="shared" si="0"/>
        <v>37159.244299999998</v>
      </c>
    </row>
    <row r="12" spans="1:6" ht="180">
      <c r="A12" s="26">
        <v>8</v>
      </c>
      <c r="B12" s="26" t="s">
        <v>53</v>
      </c>
      <c r="C12" s="26">
        <v>0.92</v>
      </c>
      <c r="D12" s="26" t="s">
        <v>10</v>
      </c>
      <c r="E12" s="26">
        <v>83314.02</v>
      </c>
      <c r="F12" s="26">
        <f t="shared" si="0"/>
        <v>76648.898400000005</v>
      </c>
    </row>
    <row r="13" spans="1:6">
      <c r="A13" s="26" t="s">
        <v>54</v>
      </c>
      <c r="B13" s="26" t="s">
        <v>55</v>
      </c>
      <c r="C13" s="26">
        <v>1.1200000000000001</v>
      </c>
      <c r="D13" s="26" t="s">
        <v>10</v>
      </c>
      <c r="E13" s="26">
        <v>82096.539999999994</v>
      </c>
      <c r="F13" s="26">
        <f t="shared" si="0"/>
        <v>91948.124800000005</v>
      </c>
    </row>
    <row r="14" spans="1:6" ht="60">
      <c r="A14" s="26" t="s">
        <v>56</v>
      </c>
      <c r="B14" s="26" t="s">
        <v>57</v>
      </c>
      <c r="C14" s="26">
        <v>182.16</v>
      </c>
      <c r="D14" s="26" t="s">
        <v>11</v>
      </c>
      <c r="E14" s="26">
        <v>194.5</v>
      </c>
      <c r="F14" s="26">
        <f t="shared" si="0"/>
        <v>35430.120000000003</v>
      </c>
    </row>
    <row r="15" spans="1:6">
      <c r="A15" s="26">
        <v>10</v>
      </c>
      <c r="B15" s="26" t="s">
        <v>12</v>
      </c>
      <c r="C15" s="26"/>
      <c r="D15" s="26"/>
      <c r="E15" s="26"/>
      <c r="F15" s="26"/>
    </row>
    <row r="16" spans="1:6">
      <c r="A16" s="26" t="s">
        <v>13</v>
      </c>
      <c r="B16" s="26" t="s">
        <v>14</v>
      </c>
      <c r="C16" s="26">
        <v>11.03</v>
      </c>
      <c r="D16" s="26" t="s">
        <v>15</v>
      </c>
      <c r="E16" s="26">
        <v>848.82</v>
      </c>
      <c r="F16" s="26">
        <f t="shared" si="0"/>
        <v>9362.4845999999998</v>
      </c>
    </row>
    <row r="17" spans="1:6">
      <c r="A17" s="26" t="s">
        <v>16</v>
      </c>
      <c r="B17" s="26" t="s">
        <v>58</v>
      </c>
      <c r="C17" s="26">
        <v>3.99</v>
      </c>
      <c r="D17" s="26" t="s">
        <v>15</v>
      </c>
      <c r="E17" s="26">
        <v>328.02</v>
      </c>
      <c r="F17" s="26">
        <f t="shared" si="0"/>
        <v>1308.7998</v>
      </c>
    </row>
    <row r="18" spans="1:6">
      <c r="A18" s="26" t="s">
        <v>18</v>
      </c>
      <c r="B18" s="26" t="s">
        <v>19</v>
      </c>
      <c r="C18" s="26">
        <v>6.55</v>
      </c>
      <c r="D18" s="26" t="s">
        <v>15</v>
      </c>
      <c r="E18" s="26">
        <v>679.66</v>
      </c>
      <c r="F18" s="26">
        <f t="shared" si="0"/>
        <v>4451.7729999999992</v>
      </c>
    </row>
    <row r="19" spans="1:6">
      <c r="A19" s="26" t="s">
        <v>20</v>
      </c>
      <c r="B19" s="26" t="s">
        <v>21</v>
      </c>
      <c r="C19" s="26">
        <v>22.07</v>
      </c>
      <c r="D19" s="26" t="s">
        <v>15</v>
      </c>
      <c r="E19" s="26">
        <v>447.06</v>
      </c>
      <c r="F19" s="26">
        <f t="shared" si="0"/>
        <v>9866.6142</v>
      </c>
    </row>
    <row r="20" spans="1:6">
      <c r="A20" s="26" t="s">
        <v>22</v>
      </c>
      <c r="B20" s="26" t="s">
        <v>23</v>
      </c>
      <c r="C20" s="26">
        <v>39.92</v>
      </c>
      <c r="D20" s="26" t="s">
        <v>15</v>
      </c>
      <c r="E20" s="26">
        <v>117.54</v>
      </c>
      <c r="F20" s="26">
        <f t="shared" si="0"/>
        <v>4692.1968000000006</v>
      </c>
    </row>
    <row r="21" spans="1:6">
      <c r="A21" s="26"/>
      <c r="B21" s="26"/>
      <c r="C21" s="26"/>
      <c r="D21" s="26"/>
      <c r="E21" s="26" t="s">
        <v>59</v>
      </c>
      <c r="F21" s="26">
        <f>SUM(F5:F20)</f>
        <v>417382.29939999996</v>
      </c>
    </row>
    <row r="22" spans="1:6">
      <c r="A22" s="27"/>
      <c r="B22" s="28"/>
      <c r="C22" s="29"/>
      <c r="D22" s="25"/>
      <c r="E22" s="26" t="s">
        <v>60</v>
      </c>
      <c r="F22" s="26">
        <f>F21*18/100</f>
        <v>75128.813891999991</v>
      </c>
    </row>
    <row r="23" spans="1:6">
      <c r="A23" s="27"/>
      <c r="B23" s="28"/>
      <c r="C23" s="29"/>
      <c r="D23" s="25"/>
      <c r="E23" s="26"/>
      <c r="F23" s="26">
        <f>F22+F21</f>
        <v>492511.11329199997</v>
      </c>
    </row>
    <row r="24" spans="1:6">
      <c r="A24" s="27"/>
      <c r="B24" s="28"/>
      <c r="C24" s="29"/>
      <c r="D24" s="25"/>
      <c r="E24" s="26" t="s">
        <v>61</v>
      </c>
      <c r="F24" s="26">
        <f>F23*1/100</f>
        <v>4925.1111329199994</v>
      </c>
    </row>
    <row r="25" spans="1:6">
      <c r="A25" s="27"/>
      <c r="B25" s="28"/>
      <c r="C25" s="29"/>
      <c r="D25" s="25"/>
      <c r="E25" s="26" t="s">
        <v>59</v>
      </c>
      <c r="F25" s="26">
        <f>F24+F23</f>
        <v>497436.22442491999</v>
      </c>
    </row>
  </sheetData>
  <mergeCells count="3">
    <mergeCell ref="A1:F1"/>
    <mergeCell ref="A2:F2"/>
    <mergeCell ref="A3:F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F33"/>
  <sheetViews>
    <sheetView workbookViewId="0">
      <selection activeCell="A3" sqref="A3:F3"/>
    </sheetView>
  </sheetViews>
  <sheetFormatPr defaultColWidth="9" defaultRowHeight="15"/>
  <cols>
    <col min="2" max="2" width="57.42578125" customWidth="1"/>
    <col min="3" max="3" width="9.85546875" customWidth="1"/>
    <col min="5" max="5" width="11.140625" customWidth="1"/>
    <col min="6" max="6" width="15.5703125" style="20" customWidth="1"/>
  </cols>
  <sheetData>
    <row r="1" spans="1:6" ht="18">
      <c r="A1" s="427" t="s">
        <v>0</v>
      </c>
      <c r="B1" s="428"/>
      <c r="C1" s="428"/>
      <c r="D1" s="428"/>
      <c r="E1" s="428"/>
      <c r="F1" s="429"/>
    </row>
    <row r="2" spans="1:6">
      <c r="A2" s="430" t="s">
        <v>1</v>
      </c>
      <c r="B2" s="431"/>
      <c r="C2" s="431"/>
      <c r="D2" s="431"/>
      <c r="E2" s="431"/>
      <c r="F2" s="432"/>
    </row>
    <row r="3" spans="1:6" ht="32.450000000000003" customHeight="1">
      <c r="A3" s="433" t="str">
        <f>[11]Estimate!B2</f>
        <v>Name of Work :- CONSTRUCTION OF RCC CULVERT NEAR EX. COUNCILLAR JAMIL AKTAR HOUSE UNDER WARD NO:-23</v>
      </c>
      <c r="B3" s="434"/>
      <c r="C3" s="434"/>
      <c r="D3" s="434"/>
      <c r="E3" s="434"/>
      <c r="F3" s="435"/>
    </row>
    <row r="4" spans="1:6" ht="30">
      <c r="A4" s="1" t="s">
        <v>2</v>
      </c>
      <c r="B4" s="2" t="s">
        <v>3</v>
      </c>
      <c r="C4" s="2" t="s">
        <v>4</v>
      </c>
      <c r="D4" s="2" t="s">
        <v>5</v>
      </c>
      <c r="E4" s="1" t="s">
        <v>6</v>
      </c>
      <c r="F4" s="3" t="s">
        <v>7</v>
      </c>
    </row>
    <row r="5" spans="1:6">
      <c r="A5" s="1">
        <f>[11]Estimate!A4</f>
        <v>1</v>
      </c>
      <c r="B5" s="4" t="str">
        <f>[11]Estimate!B4</f>
        <v>Labour for cleaning the work site before and after work etc.</v>
      </c>
      <c r="C5" s="5">
        <f>[11]Estimate!G4</f>
        <v>3</v>
      </c>
      <c r="D5" s="6" t="str">
        <f>[11]Estimate!H4</f>
        <v>Each</v>
      </c>
      <c r="E5" s="5">
        <f>[11]Estimate!I4</f>
        <v>326.85000000000002</v>
      </c>
      <c r="F5" s="7">
        <f t="shared" ref="F5:F15" si="0">ROUND(C5*E5,2)</f>
        <v>980.55</v>
      </c>
    </row>
    <row r="6" spans="1:6" ht="42.75">
      <c r="A6" s="1" t="str">
        <f>[11]Estimate!A5</f>
        <v>2     5.10.2</v>
      </c>
      <c r="B6" s="4" t="str">
        <f>[11]Estimate!B5</f>
        <v>Dismantling plain cement or lime concrete work including ………do…….complete as per specification and  direction of E/I.</v>
      </c>
      <c r="C6" s="5">
        <f>[11]Estimate!G9</f>
        <v>0.34</v>
      </c>
      <c r="D6" s="6" t="s">
        <v>8</v>
      </c>
      <c r="E6" s="5">
        <f>[11]Estimate!I9</f>
        <v>955.89</v>
      </c>
      <c r="F6" s="7">
        <f t="shared" si="0"/>
        <v>325</v>
      </c>
    </row>
    <row r="7" spans="1:6" ht="57">
      <c r="A7" s="1" t="str">
        <f>[11]Estimate!A10</f>
        <v>3
5.10.3</v>
      </c>
      <c r="B7" s="4" t="str">
        <f>[11]Estimate!B10</f>
        <v>Dismantling R.C.C work  including stacking serviceable materials in countable stacks within 15M.lead and disposal of unserviceable materials with all leads complete  as per direction of E/I.</v>
      </c>
      <c r="C7" s="5">
        <f>[11]Estimate!G14</f>
        <v>0.28000000000000003</v>
      </c>
      <c r="D7" s="6" t="s">
        <v>8</v>
      </c>
      <c r="E7" s="5">
        <f>[11]Estimate!I14</f>
        <v>1993.04</v>
      </c>
      <c r="F7" s="7">
        <f t="shared" si="0"/>
        <v>558.04999999999995</v>
      </c>
    </row>
    <row r="8" spans="1:6" ht="99.75">
      <c r="A8" s="1" t="str">
        <f>[11]Estimate!A15</f>
        <v xml:space="preserve">4.            5.1.1      </v>
      </c>
      <c r="B8" s="4" t="s">
        <v>9</v>
      </c>
      <c r="C8" s="5">
        <f>[11]Estimate!G19</f>
        <v>10.92</v>
      </c>
      <c r="D8" s="6" t="s">
        <v>8</v>
      </c>
      <c r="E8" s="5">
        <f>[11]Estimate!I19</f>
        <v>151.82</v>
      </c>
      <c r="F8" s="7">
        <f t="shared" si="0"/>
        <v>1657.87</v>
      </c>
    </row>
    <row r="9" spans="1:6" ht="99.75">
      <c r="A9" s="1" t="str">
        <f>[11]Estimate!A20</f>
        <v>5.           M-004</v>
      </c>
      <c r="B9" s="4" t="str">
        <f>[11]Estimate!B20</f>
        <v xml:space="preserve">Providing stone cruster dust finer than 3mm with not more than 10% passing 0.075 sieve at Quarry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v>
      </c>
      <c r="C9" s="5">
        <f>[11]Estimate!G23</f>
        <v>0.61</v>
      </c>
      <c r="D9" s="6" t="s">
        <v>8</v>
      </c>
      <c r="E9" s="5">
        <f>[11]Estimate!I23</f>
        <v>481.67</v>
      </c>
      <c r="F9" s="7">
        <f t="shared" si="0"/>
        <v>293.82</v>
      </c>
    </row>
    <row r="10" spans="1:6" ht="62.45" customHeight="1">
      <c r="A10" s="1" t="str">
        <f>[11]Estimate!A24</f>
        <v>6
 5.6.8</v>
      </c>
      <c r="B10" s="4" t="str">
        <f>[11]Estimate!B24</f>
        <v>Supplying and laying (properly as per design and drawing) rip-rap with good  quality of boulders duly packed including the cost of materials, royalty all taxes etc. but excluding the cost of carriage all complete as per specification and direction of E/I.</v>
      </c>
      <c r="C10" s="5">
        <f>[11]Estimate!G27</f>
        <v>1.03</v>
      </c>
      <c r="D10" s="6" t="s">
        <v>8</v>
      </c>
      <c r="E10" s="5">
        <f>[11]Estimate!I27</f>
        <v>1756.4</v>
      </c>
      <c r="F10" s="7">
        <f t="shared" si="0"/>
        <v>1809.09</v>
      </c>
    </row>
    <row r="11" spans="1:6" ht="93" customHeight="1">
      <c r="A11" s="1" t="str">
        <f>[11]Estimate!A28</f>
        <v>7   5.3.2.1</v>
      </c>
      <c r="B11" s="8" t="str">
        <f>[11]Estimate!B28</f>
        <v>Providing R.C.C M 200 in nominal mix (1:1.5:3)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v>
      </c>
      <c r="C11" s="5">
        <f>[11]Estimate!G32</f>
        <v>3.51</v>
      </c>
      <c r="D11" s="6" t="s">
        <v>8</v>
      </c>
      <c r="E11" s="5">
        <f>[11]Estimate!I32</f>
        <v>6082.45</v>
      </c>
      <c r="F11" s="7">
        <f t="shared" si="0"/>
        <v>21349.4</v>
      </c>
    </row>
    <row r="12" spans="1:6" ht="114">
      <c r="A12" s="1" t="str">
        <f>[11]Estimate!A33</f>
        <v>8                  5.3.11</v>
      </c>
      <c r="B12" s="8" t="str">
        <f>[11]Estimate!B33</f>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
      <c r="C12" s="5">
        <f>[11]Estimate!G36</f>
        <v>1.65</v>
      </c>
      <c r="D12" s="6" t="s">
        <v>8</v>
      </c>
      <c r="E12" s="5">
        <f>[11]Estimate!I36</f>
        <v>6308.87</v>
      </c>
      <c r="F12" s="7">
        <f t="shared" si="0"/>
        <v>10409.64</v>
      </c>
    </row>
    <row r="13" spans="1:6" ht="114">
      <c r="A13" s="1">
        <f>[11]Estimate!A37</f>
        <v>9</v>
      </c>
      <c r="B13" s="8" t="str">
        <f>[11]Estimate!B37</f>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
      <c r="C13" s="5">
        <f>[11]Estimate!G41</f>
        <v>0.21</v>
      </c>
      <c r="D13" s="6" t="s">
        <v>10</v>
      </c>
      <c r="E13" s="5">
        <f>[11]Estimate!I41</f>
        <v>83314.02</v>
      </c>
      <c r="F13" s="7">
        <f t="shared" si="0"/>
        <v>17495.939999999999</v>
      </c>
    </row>
    <row r="14" spans="1:6">
      <c r="A14" s="1"/>
      <c r="B14" s="8"/>
      <c r="C14" s="5">
        <f>[11]Estimate!G45</f>
        <v>0.26</v>
      </c>
      <c r="D14" s="6" t="s">
        <v>10</v>
      </c>
      <c r="E14" s="5">
        <f>[11]Estimate!I45</f>
        <v>82096.539999999994</v>
      </c>
      <c r="F14" s="7">
        <f t="shared" si="0"/>
        <v>21345.1</v>
      </c>
    </row>
    <row r="15" spans="1:6" ht="42.75">
      <c r="A15" s="1" t="str">
        <f>[11]Estimate!A46</f>
        <v>10                 5.3.17.1</v>
      </c>
      <c r="B15" s="4" t="str">
        <f>[11]Estimate!B46</f>
        <v>Centering and shuttering including strutting, propping etc. and removal of from for Foundations,footings, bases of columns, etc. for mass concrete.</v>
      </c>
      <c r="C15" s="5">
        <f>[11]Estimate!G50</f>
        <v>13.01</v>
      </c>
      <c r="D15" s="9" t="s">
        <v>11</v>
      </c>
      <c r="E15" s="1">
        <f>[11]Estimate!I50</f>
        <v>194.5</v>
      </c>
      <c r="F15" s="3">
        <f t="shared" si="0"/>
        <v>2530.4499999999998</v>
      </c>
    </row>
    <row r="16" spans="1:6">
      <c r="A16" s="1">
        <f>[11]Estimate!A51</f>
        <v>11</v>
      </c>
      <c r="B16" s="10" t="s">
        <v>12</v>
      </c>
      <c r="C16" s="6"/>
      <c r="D16" s="11"/>
      <c r="E16" s="12"/>
      <c r="F16" s="7"/>
    </row>
    <row r="17" spans="1:6">
      <c r="A17" s="13" t="s">
        <v>13</v>
      </c>
      <c r="B17" s="4" t="s">
        <v>14</v>
      </c>
      <c r="C17" s="6">
        <f>[11]Estimate!G52</f>
        <v>2.2199999999999998</v>
      </c>
      <c r="D17" s="11" t="s">
        <v>15</v>
      </c>
      <c r="E17" s="14">
        <f>[11]Estimate!I52</f>
        <v>848.82</v>
      </c>
      <c r="F17" s="7">
        <f>ROUND(C17*E17,2)</f>
        <v>1884.38</v>
      </c>
    </row>
    <row r="18" spans="1:6">
      <c r="A18" s="13" t="s">
        <v>16</v>
      </c>
      <c r="B18" s="4" t="s">
        <v>17</v>
      </c>
      <c r="C18" s="6">
        <f>[11]Estimate!G53</f>
        <v>0.61</v>
      </c>
      <c r="D18" s="11" t="s">
        <v>15</v>
      </c>
      <c r="E18" s="14">
        <f>[11]Estimate!I53</f>
        <v>447.06</v>
      </c>
      <c r="F18" s="7">
        <f>ROUND(C18*E18,2)</f>
        <v>272.70999999999998</v>
      </c>
    </row>
    <row r="19" spans="1:6">
      <c r="A19" s="13" t="s">
        <v>18</v>
      </c>
      <c r="B19" s="4" t="s">
        <v>19</v>
      </c>
      <c r="C19" s="6">
        <f>[11]Estimate!G54</f>
        <v>1.03</v>
      </c>
      <c r="D19" s="11" t="s">
        <v>15</v>
      </c>
      <c r="E19" s="14">
        <f>[11]Estimate!I54</f>
        <v>679.66</v>
      </c>
      <c r="F19" s="7">
        <f>ROUND(C19*E19,2)</f>
        <v>700.05</v>
      </c>
    </row>
    <row r="20" spans="1:6">
      <c r="A20" s="13" t="s">
        <v>20</v>
      </c>
      <c r="B20" s="4" t="s">
        <v>21</v>
      </c>
      <c r="C20" s="6">
        <f>[11]Estimate!G55</f>
        <v>4.4399999999999995</v>
      </c>
      <c r="D20" s="11" t="s">
        <v>15</v>
      </c>
      <c r="E20" s="14">
        <f>[11]Estimate!I55</f>
        <v>447.06</v>
      </c>
      <c r="F20" s="7">
        <f>ROUND(C20*E20,2)</f>
        <v>1984.95</v>
      </c>
    </row>
    <row r="21" spans="1:6">
      <c r="A21" s="13" t="s">
        <v>22</v>
      </c>
      <c r="B21" s="4" t="s">
        <v>23</v>
      </c>
      <c r="C21" s="6">
        <f>[11]Estimate!G56</f>
        <v>10.92</v>
      </c>
      <c r="D21" s="11" t="s">
        <v>15</v>
      </c>
      <c r="E21" s="14">
        <f>[11]Estimate!I56</f>
        <v>117.54</v>
      </c>
      <c r="F21" s="7">
        <f>ROUND(C21*E21,2)</f>
        <v>1283.54</v>
      </c>
    </row>
    <row r="22" spans="1:6">
      <c r="A22" s="15"/>
      <c r="B22" s="15"/>
      <c r="C22" s="425" t="s">
        <v>24</v>
      </c>
      <c r="D22" s="425"/>
      <c r="E22" s="426"/>
      <c r="F22" s="7">
        <f>SUM(F5:F21)</f>
        <v>84880.54</v>
      </c>
    </row>
    <row r="23" spans="1:6">
      <c r="A23" s="15"/>
      <c r="B23" s="15"/>
      <c r="C23" s="436" t="s">
        <v>25</v>
      </c>
      <c r="D23" s="425"/>
      <c r="E23" s="426"/>
      <c r="F23" s="7">
        <f>F22*18%</f>
        <v>15278.497199999998</v>
      </c>
    </row>
    <row r="24" spans="1:6">
      <c r="A24" s="15"/>
      <c r="B24" s="15"/>
      <c r="C24" s="436" t="s">
        <v>24</v>
      </c>
      <c r="D24" s="425"/>
      <c r="E24" s="426"/>
      <c r="F24" s="7">
        <f>SUM(F22:F23)</f>
        <v>100159.03719999999</v>
      </c>
    </row>
    <row r="25" spans="1:6">
      <c r="A25" s="15"/>
      <c r="B25" s="15"/>
      <c r="C25" s="425" t="s">
        <v>26</v>
      </c>
      <c r="D25" s="425"/>
      <c r="E25" s="426"/>
      <c r="F25" s="7">
        <f>ROUND(F24*0.01,2)</f>
        <v>1001.59</v>
      </c>
    </row>
    <row r="26" spans="1:6">
      <c r="A26" s="15"/>
      <c r="B26" s="15"/>
      <c r="C26" s="425" t="s">
        <v>24</v>
      </c>
      <c r="D26" s="425"/>
      <c r="E26" s="426"/>
      <c r="F26" s="7">
        <f>SUM(F24:F25)</f>
        <v>101160.62719999999</v>
      </c>
    </row>
    <row r="27" spans="1:6">
      <c r="A27" s="15"/>
      <c r="B27" s="15"/>
      <c r="C27" s="425" t="s">
        <v>27</v>
      </c>
      <c r="D27" s="425"/>
      <c r="E27" s="426"/>
      <c r="F27" s="7">
        <v>101161</v>
      </c>
    </row>
    <row r="28" spans="1:6" ht="18.75">
      <c r="A28" s="16"/>
      <c r="B28" s="16"/>
      <c r="C28" s="17"/>
      <c r="D28" s="17"/>
      <c r="E28" s="17"/>
      <c r="F28" s="18"/>
    </row>
    <row r="29" spans="1:6" ht="18.75">
      <c r="A29" s="16"/>
      <c r="B29" s="16"/>
      <c r="C29" s="17"/>
      <c r="D29" s="17"/>
      <c r="E29" s="17"/>
      <c r="F29" s="18"/>
    </row>
    <row r="30" spans="1:6">
      <c r="A30" s="19"/>
    </row>
    <row r="31" spans="1:6">
      <c r="A31" s="19"/>
    </row>
    <row r="32" spans="1:6" ht="18.75">
      <c r="A32" s="19"/>
      <c r="B32" s="21" t="s">
        <v>28</v>
      </c>
      <c r="C32" s="22" t="s">
        <v>29</v>
      </c>
      <c r="F32" s="18" t="s">
        <v>30</v>
      </c>
    </row>
    <row r="33" spans="1:6" ht="18.75">
      <c r="A33" s="19"/>
      <c r="B33" s="21" t="s">
        <v>31</v>
      </c>
      <c r="C33" s="22" t="s">
        <v>32</v>
      </c>
      <c r="F33" s="18" t="s">
        <v>31</v>
      </c>
    </row>
  </sheetData>
  <mergeCells count="9">
    <mergeCell ref="C25:E25"/>
    <mergeCell ref="C26:E26"/>
    <mergeCell ref="C27:E27"/>
    <mergeCell ref="A1:F1"/>
    <mergeCell ref="A2:F2"/>
    <mergeCell ref="A3:F3"/>
    <mergeCell ref="C22:E22"/>
    <mergeCell ref="C23:E23"/>
    <mergeCell ref="C24:E24"/>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F28"/>
  <sheetViews>
    <sheetView workbookViewId="0">
      <selection activeCell="B6" sqref="B6"/>
    </sheetView>
  </sheetViews>
  <sheetFormatPr defaultRowHeight="15"/>
  <cols>
    <col min="2" max="2" width="51.42578125" customWidth="1"/>
    <col min="6" max="6" width="15.28515625" bestFit="1" customWidth="1"/>
  </cols>
  <sheetData>
    <row r="1" spans="1:6" ht="23.25">
      <c r="A1" s="437" t="s">
        <v>0</v>
      </c>
      <c r="B1" s="438"/>
      <c r="C1" s="438"/>
      <c r="D1" s="438"/>
      <c r="E1" s="438"/>
      <c r="F1" s="439"/>
    </row>
    <row r="2" spans="1:6" ht="18">
      <c r="A2" s="427" t="s">
        <v>1</v>
      </c>
      <c r="B2" s="428"/>
      <c r="C2" s="428"/>
      <c r="D2" s="428"/>
      <c r="E2" s="428"/>
      <c r="F2" s="429"/>
    </row>
    <row r="3" spans="1:6" ht="33" customHeight="1">
      <c r="A3" s="440" t="str">
        <f>[12]ESTIMATE!A2</f>
        <v>Name of Work :-CONSTRUCTION OF PCC ROAD AT GOWALA TOTI, BESIDE GALI MASZID AOULIYA UNDER WARD NO-23</v>
      </c>
      <c r="B3" s="441"/>
      <c r="C3" s="441"/>
      <c r="D3" s="441"/>
      <c r="E3" s="441"/>
      <c r="F3" s="442"/>
    </row>
    <row r="4" spans="1:6" ht="30">
      <c r="A4" s="1" t="s">
        <v>2</v>
      </c>
      <c r="B4" s="2" t="s">
        <v>3</v>
      </c>
      <c r="C4" s="2" t="s">
        <v>4</v>
      </c>
      <c r="D4" s="2" t="s">
        <v>5</v>
      </c>
      <c r="E4" s="1" t="s">
        <v>6</v>
      </c>
      <c r="F4" s="1" t="s">
        <v>7</v>
      </c>
    </row>
    <row r="5" spans="1:6" ht="28.5">
      <c r="A5" s="1">
        <f>[12]ESTIMATE!A4</f>
        <v>1</v>
      </c>
      <c r="B5" s="4" t="str">
        <f>[12]ESTIMATE!B4</f>
        <v>Labour for site clearence before and after the work etc.</v>
      </c>
      <c r="C5" s="5">
        <f>[12]ESTIMATE!G4</f>
        <v>1</v>
      </c>
      <c r="D5" s="6" t="str">
        <f>[12]ESTIMATE!H4</f>
        <v>No.</v>
      </c>
      <c r="E5" s="5">
        <f>[12]ESTIMATE!I4</f>
        <v>326.85000000000002</v>
      </c>
      <c r="F5" s="5">
        <f t="shared" ref="F5:F10" si="0">ROUND(C5*E5,2)</f>
        <v>326.85000000000002</v>
      </c>
    </row>
    <row r="6" spans="1:6" ht="99.75">
      <c r="A6" s="1" t="str">
        <f>[12]ESTIMATE!A5</f>
        <v>2       5.1.1.</v>
      </c>
      <c r="B6" s="4" t="str">
        <f>[12]ESTIMATE!B5</f>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
      <c r="C6" s="5">
        <f>[12]ESTIMATE!G8</f>
        <v>11.38</v>
      </c>
      <c r="D6" s="6" t="s">
        <v>15</v>
      </c>
      <c r="E6" s="5">
        <f>[12]ESTIMATE!I8</f>
        <v>151.82</v>
      </c>
      <c r="F6" s="5">
        <f t="shared" si="0"/>
        <v>1727.71</v>
      </c>
    </row>
    <row r="7" spans="1:6" ht="99.75">
      <c r="A7" s="1" t="str">
        <f>[12]ESTIMATE!A9</f>
        <v>3.         5.1.10</v>
      </c>
      <c r="B7" s="4" t="str">
        <f>[12]ESTIMATE!B9</f>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
      <c r="C7" s="5">
        <f>[12]ESTIMATE!G12</f>
        <v>4.25</v>
      </c>
      <c r="D7" s="6" t="s">
        <v>15</v>
      </c>
      <c r="E7" s="5">
        <f>[12]ESTIMATE!I12</f>
        <v>589.51</v>
      </c>
      <c r="F7" s="5">
        <f t="shared" si="0"/>
        <v>2505.42</v>
      </c>
    </row>
    <row r="8" spans="1:6" ht="71.25">
      <c r="A8" s="1" t="str">
        <f>[12]ESTIMATE!A13</f>
        <v>4.       5.6.8 (C.I.W.)</v>
      </c>
      <c r="B8" s="4" t="str">
        <f>[12]ESTIMATE!B13</f>
        <v>Supplying and laying (properly as per design and drawing )rip-rap with good quality of boulders duly packed including the cost of materials,royalty all taxes etc.but excluding the cost of carriage, all complete as per specification and direction of E/I.</v>
      </c>
      <c r="C8" s="5">
        <f>[12]ESTIMATE!G16</f>
        <v>7.14</v>
      </c>
      <c r="D8" s="6" t="s">
        <v>15</v>
      </c>
      <c r="E8" s="5">
        <f>[12]ESTIMATE!I16</f>
        <v>1756.4</v>
      </c>
      <c r="F8" s="5">
        <f t="shared" si="0"/>
        <v>12540.7</v>
      </c>
    </row>
    <row r="9" spans="1:6" ht="71.25">
      <c r="A9" s="1" t="str">
        <f>[12]ESTIMATE!A17</f>
        <v>5.     5.3.1.1</v>
      </c>
      <c r="B9" s="8" t="str">
        <f>[12]ESTIMATE!B17</f>
        <v xml:space="preserve">Providing and laying in position cement concrete of specified grade excluding the cost of centering and shuttering- All work upto plinth level : 1:1½:3 (1 cemet : 1½ coarse sand (zone-iii) : 3 graded stone aggregate 20mm nominal size )  </v>
      </c>
      <c r="C9" s="5">
        <f>[12]ESTIMATE!G20</f>
        <v>8.5</v>
      </c>
      <c r="D9" s="6" t="s">
        <v>15</v>
      </c>
      <c r="E9" s="5">
        <f>[12]ESTIMATE!I20</f>
        <v>4961.7299999999996</v>
      </c>
      <c r="F9" s="5">
        <f t="shared" si="0"/>
        <v>42174.71</v>
      </c>
    </row>
    <row r="10" spans="1:6" ht="42.75">
      <c r="A10" s="1" t="str">
        <f>[12]ESTIMATE!A21</f>
        <v>6               5.3.17.1</v>
      </c>
      <c r="B10" s="4" t="str">
        <f>[12]ESTIMATE!B21</f>
        <v>Centering and shuttering including strutting, propping etc. and removal of from for Foundations, footings, bases of columns, etc. for mass concrete.</v>
      </c>
      <c r="C10" s="5">
        <f>[12]ESTIMATE!G24</f>
        <v>11.15</v>
      </c>
      <c r="D10" s="9" t="s">
        <v>11</v>
      </c>
      <c r="E10" s="1">
        <f>[12]ESTIMATE!I24</f>
        <v>194.5</v>
      </c>
      <c r="F10" s="34">
        <f t="shared" si="0"/>
        <v>2168.6799999999998</v>
      </c>
    </row>
    <row r="11" spans="1:6">
      <c r="A11" s="1">
        <f>[12]ESTIMATE!A25</f>
        <v>7</v>
      </c>
      <c r="B11" s="10" t="s">
        <v>12</v>
      </c>
      <c r="C11" s="6"/>
      <c r="D11" s="11"/>
      <c r="E11" s="12"/>
      <c r="F11" s="5"/>
    </row>
    <row r="12" spans="1:6">
      <c r="A12" s="13" t="str">
        <f>[12]ESTIMATE!A26</f>
        <v>(i)</v>
      </c>
      <c r="B12" s="35" t="str">
        <f>[12]ESTIMATE!B26</f>
        <v>SAND-LEAD-49KM</v>
      </c>
      <c r="C12" s="6">
        <f>[12]ESTIMATE!G26</f>
        <v>3.66</v>
      </c>
      <c r="D12" s="11" t="s">
        <v>15</v>
      </c>
      <c r="E12" s="1">
        <f>[12]ESTIMATE!I26</f>
        <v>848.82</v>
      </c>
      <c r="F12" s="5">
        <f t="shared" ref="F12:F16" si="1">ROUND(C12*E12,2)</f>
        <v>3106.68</v>
      </c>
    </row>
    <row r="13" spans="1:6">
      <c r="A13" s="13" t="str">
        <f>[12]ESTIMATE!A27</f>
        <v>(ii)</v>
      </c>
      <c r="B13" s="35" t="str">
        <f>[12]ESTIMATE!B27</f>
        <v>LOCAL SAND-LEAD-14KM</v>
      </c>
      <c r="C13" s="6">
        <f>[12]ESTIMATE!G27</f>
        <v>4.25</v>
      </c>
      <c r="D13" s="11" t="s">
        <v>15</v>
      </c>
      <c r="E13" s="34">
        <f>[12]ESTIMATE!I27</f>
        <v>328.02</v>
      </c>
      <c r="F13" s="5">
        <f t="shared" si="1"/>
        <v>1394.09</v>
      </c>
    </row>
    <row r="14" spans="1:6">
      <c r="A14" s="13" t="str">
        <f>[12]ESTIMATE!A28</f>
        <v>(iii)</v>
      </c>
      <c r="B14" s="36" t="str">
        <f>[12]ESTIMATE!B28</f>
        <v>STONE CHIPS-LEAD-22KM</v>
      </c>
      <c r="C14" s="6">
        <f>[12]ESTIMATE!G28</f>
        <v>7.31</v>
      </c>
      <c r="D14" s="11" t="s">
        <v>15</v>
      </c>
      <c r="E14" s="34">
        <f>[12]ESTIMATE!I28</f>
        <v>447.06</v>
      </c>
      <c r="F14" s="5">
        <f t="shared" si="1"/>
        <v>3268.01</v>
      </c>
    </row>
    <row r="15" spans="1:6">
      <c r="A15" s="13" t="str">
        <f>[12]ESTIMATE!A29</f>
        <v>(iv)</v>
      </c>
      <c r="B15" s="36" t="str">
        <f>[12]ESTIMATE!B29</f>
        <v>BOULDER-LEAD-36KM</v>
      </c>
      <c r="C15" s="6">
        <f>[12]ESTIMATE!G29</f>
        <v>7.14</v>
      </c>
      <c r="D15" s="11" t="s">
        <v>15</v>
      </c>
      <c r="E15" s="1">
        <f>[12]ESTIMATE!I29</f>
        <v>679.66</v>
      </c>
      <c r="F15" s="5">
        <f t="shared" si="1"/>
        <v>4852.7700000000004</v>
      </c>
    </row>
    <row r="16" spans="1:6">
      <c r="A16" s="13" t="str">
        <f>[12]ESTIMATE!A30</f>
        <v>(v)</v>
      </c>
      <c r="B16" s="4" t="str">
        <f>[12]ESTIMATE!B30</f>
        <v>EARTH-LEAD-01km</v>
      </c>
      <c r="C16" s="6">
        <f>[12]ESTIMATE!G30</f>
        <v>11.38</v>
      </c>
      <c r="D16" s="11" t="s">
        <v>15</v>
      </c>
      <c r="E16" s="34">
        <f>[12]ESTIMATE!I30</f>
        <v>117.54</v>
      </c>
      <c r="F16" s="5">
        <f t="shared" si="1"/>
        <v>1337.61</v>
      </c>
    </row>
    <row r="17" spans="1:6">
      <c r="A17" s="15"/>
      <c r="B17" s="15"/>
      <c r="C17" s="436" t="s">
        <v>24</v>
      </c>
      <c r="D17" s="425"/>
      <c r="E17" s="426"/>
      <c r="F17" s="5">
        <f>SUM(F5:F16)</f>
        <v>75403.23</v>
      </c>
    </row>
    <row r="18" spans="1:6">
      <c r="A18" s="15"/>
      <c r="B18" s="15"/>
      <c r="C18" s="436" t="s">
        <v>25</v>
      </c>
      <c r="D18" s="425"/>
      <c r="E18" s="426"/>
      <c r="F18" s="5">
        <f>ROUND(F17*0.18,2)</f>
        <v>13572.58</v>
      </c>
    </row>
    <row r="19" spans="1:6">
      <c r="A19" s="15"/>
      <c r="B19" s="15"/>
      <c r="C19" s="436" t="s">
        <v>24</v>
      </c>
      <c r="D19" s="425"/>
      <c r="E19" s="426"/>
      <c r="F19" s="5">
        <f>SUM(F17:F18)</f>
        <v>88975.81</v>
      </c>
    </row>
    <row r="20" spans="1:6">
      <c r="A20" s="15"/>
      <c r="B20" s="15"/>
      <c r="C20" s="436" t="s">
        <v>26</v>
      </c>
      <c r="D20" s="425"/>
      <c r="E20" s="426"/>
      <c r="F20" s="5">
        <f>ROUND(F19*0.01,2)</f>
        <v>889.76</v>
      </c>
    </row>
    <row r="21" spans="1:6">
      <c r="A21" s="15"/>
      <c r="B21" s="15"/>
      <c r="C21" s="436" t="s">
        <v>24</v>
      </c>
      <c r="D21" s="425"/>
      <c r="E21" s="426"/>
      <c r="F21" s="7">
        <f>SUM(F19:F20)</f>
        <v>89865.569999999992</v>
      </c>
    </row>
    <row r="22" spans="1:6">
      <c r="A22" s="15"/>
      <c r="B22" s="15"/>
      <c r="C22" s="436" t="s">
        <v>27</v>
      </c>
      <c r="D22" s="425"/>
      <c r="E22" s="426"/>
      <c r="F22" s="7">
        <v>89866</v>
      </c>
    </row>
    <row r="23" spans="1:6">
      <c r="A23" s="37"/>
      <c r="B23" s="37"/>
      <c r="C23" s="38"/>
      <c r="D23" s="38"/>
      <c r="E23" s="38"/>
      <c r="F23" s="39"/>
    </row>
    <row r="24" spans="1:6" ht="18">
      <c r="A24" s="40"/>
      <c r="B24" s="40"/>
      <c r="C24" s="41"/>
      <c r="D24" s="41"/>
      <c r="E24" s="41"/>
      <c r="F24" s="42"/>
    </row>
    <row r="25" spans="1:6">
      <c r="A25" s="43"/>
      <c r="B25" s="44"/>
      <c r="C25" s="44"/>
      <c r="D25" s="44"/>
      <c r="E25" s="44"/>
      <c r="F25" s="44"/>
    </row>
    <row r="26" spans="1:6">
      <c r="A26" s="43"/>
      <c r="B26" s="44"/>
      <c r="C26" s="44"/>
      <c r="D26" s="44"/>
      <c r="E26" s="44"/>
      <c r="F26" s="44"/>
    </row>
    <row r="27" spans="1:6" ht="18">
      <c r="A27" s="43"/>
      <c r="B27" s="45" t="s">
        <v>28</v>
      </c>
      <c r="C27" s="46" t="s">
        <v>29</v>
      </c>
      <c r="D27" s="44"/>
      <c r="E27" s="44"/>
      <c r="F27" s="47" t="s">
        <v>30</v>
      </c>
    </row>
    <row r="28" spans="1:6" ht="18">
      <c r="A28" s="43"/>
      <c r="B28" s="45" t="s">
        <v>31</v>
      </c>
      <c r="C28" s="46" t="s">
        <v>32</v>
      </c>
      <c r="D28" s="44"/>
      <c r="E28" s="44"/>
      <c r="F28" s="47" t="s">
        <v>31</v>
      </c>
    </row>
  </sheetData>
  <mergeCells count="9">
    <mergeCell ref="C20:E20"/>
    <mergeCell ref="C21:E21"/>
    <mergeCell ref="C22:E22"/>
    <mergeCell ref="A1:F1"/>
    <mergeCell ref="A2:F2"/>
    <mergeCell ref="A3:F3"/>
    <mergeCell ref="C17:E17"/>
    <mergeCell ref="C18:E18"/>
    <mergeCell ref="C19:E19"/>
  </mergeCells>
  <pageMargins left="0.7" right="0.7" top="0.75" bottom="0.75" header="0.3" footer="0.3"/>
</worksheet>
</file>

<file path=xl/worksheets/sheet16.xml><?xml version="1.0" encoding="utf-8"?>
<worksheet xmlns="http://schemas.openxmlformats.org/spreadsheetml/2006/main" xmlns:r="http://schemas.openxmlformats.org/officeDocument/2006/relationships">
  <dimension ref="A1:F28"/>
  <sheetViews>
    <sheetView topLeftCell="A10" workbookViewId="0">
      <selection activeCell="D6" sqref="D6"/>
    </sheetView>
  </sheetViews>
  <sheetFormatPr defaultRowHeight="15"/>
  <cols>
    <col min="2" max="2" width="51.42578125" customWidth="1"/>
    <col min="6" max="6" width="15.28515625" bestFit="1" customWidth="1"/>
  </cols>
  <sheetData>
    <row r="1" spans="1:6" ht="23.25">
      <c r="A1" s="437" t="s">
        <v>0</v>
      </c>
      <c r="B1" s="438"/>
      <c r="C1" s="438"/>
      <c r="D1" s="438"/>
      <c r="E1" s="438"/>
      <c r="F1" s="439"/>
    </row>
    <row r="2" spans="1:6" ht="18" customHeight="1">
      <c r="A2" s="427" t="s">
        <v>1</v>
      </c>
      <c r="B2" s="428"/>
      <c r="C2" s="428"/>
      <c r="D2" s="428"/>
      <c r="E2" s="428"/>
      <c r="F2" s="429"/>
    </row>
    <row r="3" spans="1:6" ht="29.45" customHeight="1">
      <c r="A3" s="440" t="str">
        <f>[13]ESTIMATE!A2</f>
        <v>Name of Work :-CONSTRUCTION OF PCC ROAD AT GOWALA TOLI BEBY TABASSUM'S GALI UNDER WARD NO-23</v>
      </c>
      <c r="B3" s="441"/>
      <c r="C3" s="441"/>
      <c r="D3" s="441"/>
      <c r="E3" s="441"/>
      <c r="F3" s="442"/>
    </row>
    <row r="4" spans="1:6" ht="30">
      <c r="A4" s="1" t="s">
        <v>2</v>
      </c>
      <c r="B4" s="2" t="s">
        <v>3</v>
      </c>
      <c r="C4" s="2" t="s">
        <v>4</v>
      </c>
      <c r="D4" s="2" t="s">
        <v>5</v>
      </c>
      <c r="E4" s="1" t="s">
        <v>6</v>
      </c>
      <c r="F4" s="1" t="s">
        <v>7</v>
      </c>
    </row>
    <row r="5" spans="1:6" ht="28.5">
      <c r="A5" s="1">
        <f>[13]ESTIMATE!A4</f>
        <v>1</v>
      </c>
      <c r="B5" s="4" t="str">
        <f>[13]ESTIMATE!B4</f>
        <v>Labour for site clearence before and after the work etc.</v>
      </c>
      <c r="C5" s="5">
        <f>[13]ESTIMATE!G4</f>
        <v>1</v>
      </c>
      <c r="D5" s="6" t="str">
        <f>[13]ESTIMATE!H4</f>
        <v>No.</v>
      </c>
      <c r="E5" s="5">
        <f>[13]ESTIMATE!I4</f>
        <v>326.85000000000002</v>
      </c>
      <c r="F5" s="5">
        <f t="shared" ref="F5:F10" si="0">ROUND(C5*E5,2)</f>
        <v>326.85000000000002</v>
      </c>
    </row>
    <row r="6" spans="1:6" ht="99.75">
      <c r="A6" s="1" t="str">
        <f>[13]ESTIMATE!A5</f>
        <v>2       5.1.1.</v>
      </c>
      <c r="B6" s="4" t="str">
        <f>[13]ESTIMATE!B5</f>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
      <c r="C6" s="5">
        <f>[13]ESTIMATE!G8</f>
        <v>15.18</v>
      </c>
      <c r="D6" s="6" t="s">
        <v>15</v>
      </c>
      <c r="E6" s="5">
        <f>[13]ESTIMATE!I8</f>
        <v>151.82</v>
      </c>
      <c r="F6" s="5">
        <f t="shared" si="0"/>
        <v>2304.63</v>
      </c>
    </row>
    <row r="7" spans="1:6" ht="99.75">
      <c r="A7" s="1" t="str">
        <f>[13]ESTIMATE!A9</f>
        <v>3.         5.1.10</v>
      </c>
      <c r="B7" s="4" t="str">
        <f>[13]ESTIMATE!B9</f>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
      <c r="C7" s="5">
        <f>[13]ESTIMATE!G12</f>
        <v>5.66</v>
      </c>
      <c r="D7" s="6" t="s">
        <v>15</v>
      </c>
      <c r="E7" s="5">
        <f>[13]ESTIMATE!I12</f>
        <v>589.51</v>
      </c>
      <c r="F7" s="5">
        <f t="shared" si="0"/>
        <v>3336.63</v>
      </c>
    </row>
    <row r="8" spans="1:6" ht="71.25">
      <c r="A8" s="1" t="str">
        <f>[13]ESTIMATE!A13</f>
        <v>4.       5.6.8 (C.I.W.)</v>
      </c>
      <c r="B8" s="4" t="str">
        <f>[13]ESTIMATE!B13</f>
        <v>Supplying and laying (properly as per design and drawing )rip-rap with good quality of boulders duly packed including the cost of materials,royalty all taxes etc.but excluding the cost of carriage, all complete as per specification and direction of E/I.</v>
      </c>
      <c r="C8" s="5">
        <f>[13]ESTIMATE!G16</f>
        <v>9.52</v>
      </c>
      <c r="D8" s="6" t="s">
        <v>15</v>
      </c>
      <c r="E8" s="5">
        <f>[13]ESTIMATE!I16</f>
        <v>1756.4</v>
      </c>
      <c r="F8" s="5">
        <f t="shared" si="0"/>
        <v>16720.93</v>
      </c>
    </row>
    <row r="9" spans="1:6" ht="65.099999999999994" customHeight="1">
      <c r="A9" s="1" t="str">
        <f>[13]ESTIMATE!A17</f>
        <v>5.     5.3.1.1</v>
      </c>
      <c r="B9" s="8" t="str">
        <f>[13]ESTIMATE!B17</f>
        <v xml:space="preserve">Providing and laying in position cement concrete of specified grade excluding the cost of centering and shuttering- All work upto plinth level : 1:1½:3 (1 cemet : 1½ coarse sand (zone-iii) : 3 graded stone aggregate 20mm nominal size )  </v>
      </c>
      <c r="C9" s="5">
        <f>[13]ESTIMATE!G20</f>
        <v>11.33</v>
      </c>
      <c r="D9" s="6" t="s">
        <v>15</v>
      </c>
      <c r="E9" s="5">
        <f>[13]ESTIMATE!I20</f>
        <v>4961.7299999999996</v>
      </c>
      <c r="F9" s="5">
        <f t="shared" si="0"/>
        <v>56216.4</v>
      </c>
    </row>
    <row r="10" spans="1:6" ht="42.75">
      <c r="A10" s="1" t="str">
        <f>[13]ESTIMATE!A21</f>
        <v>6               5.3.17.1</v>
      </c>
      <c r="B10" s="4" t="str">
        <f>[13]ESTIMATE!B21</f>
        <v>Centering and shuttering including strutting, propping etc. and removal of from for Foundations, footings, bases of columns, etc. for mass concrete.</v>
      </c>
      <c r="C10" s="5">
        <f>[13]ESTIMATE!G24</f>
        <v>9.2899999999999991</v>
      </c>
      <c r="D10" s="9" t="s">
        <v>11</v>
      </c>
      <c r="E10" s="1">
        <f>[13]ESTIMATE!I24</f>
        <v>194.5</v>
      </c>
      <c r="F10" s="34">
        <f t="shared" si="0"/>
        <v>1806.91</v>
      </c>
    </row>
    <row r="11" spans="1:6">
      <c r="A11" s="1">
        <f>[13]ESTIMATE!A25</f>
        <v>7</v>
      </c>
      <c r="B11" s="10" t="s">
        <v>12</v>
      </c>
      <c r="C11" s="6"/>
      <c r="D11" s="11"/>
      <c r="E11" s="12"/>
      <c r="F11" s="5"/>
    </row>
    <row r="12" spans="1:6">
      <c r="A12" s="13" t="str">
        <f>[13]ESTIMATE!A26</f>
        <v>(i)</v>
      </c>
      <c r="B12" s="35" t="str">
        <f>[13]ESTIMATE!B26</f>
        <v>SAND-LEAD-49KM</v>
      </c>
      <c r="C12" s="6">
        <f>[13]ESTIMATE!G26</f>
        <v>4.87</v>
      </c>
      <c r="D12" s="11" t="s">
        <v>15</v>
      </c>
      <c r="E12" s="1">
        <f>[13]ESTIMATE!I26</f>
        <v>848.82</v>
      </c>
      <c r="F12" s="5">
        <f t="shared" ref="F12:F16" si="1">ROUND(C12*E12,2)</f>
        <v>4133.75</v>
      </c>
    </row>
    <row r="13" spans="1:6">
      <c r="A13" s="13" t="str">
        <f>[13]ESTIMATE!A27</f>
        <v>(ii)</v>
      </c>
      <c r="B13" s="35" t="str">
        <f>[13]ESTIMATE!B27</f>
        <v>LOCAL SAND-LEAD-14KM</v>
      </c>
      <c r="C13" s="6">
        <f>[13]ESTIMATE!G27</f>
        <v>5.66</v>
      </c>
      <c r="D13" s="11" t="s">
        <v>15</v>
      </c>
      <c r="E13" s="34">
        <f>[13]ESTIMATE!I27</f>
        <v>328.02</v>
      </c>
      <c r="F13" s="5">
        <f t="shared" si="1"/>
        <v>1856.59</v>
      </c>
    </row>
    <row r="14" spans="1:6">
      <c r="A14" s="13" t="str">
        <f>[13]ESTIMATE!A28</f>
        <v>(iii)</v>
      </c>
      <c r="B14" s="36" t="str">
        <f>[13]ESTIMATE!B28</f>
        <v>STONE CHIPS-LEAD-22KM</v>
      </c>
      <c r="C14" s="6">
        <f>[13]ESTIMATE!G28</f>
        <v>9.74</v>
      </c>
      <c r="D14" s="11" t="s">
        <v>15</v>
      </c>
      <c r="E14" s="34">
        <f>[13]ESTIMATE!I28</f>
        <v>447.06</v>
      </c>
      <c r="F14" s="5">
        <f t="shared" si="1"/>
        <v>4354.3599999999997</v>
      </c>
    </row>
    <row r="15" spans="1:6">
      <c r="A15" s="13" t="str">
        <f>[13]ESTIMATE!A29</f>
        <v>(iv)</v>
      </c>
      <c r="B15" s="36" t="str">
        <f>[13]ESTIMATE!B29</f>
        <v>BOULDER-LEAD-36KM</v>
      </c>
      <c r="C15" s="6">
        <f>[13]ESTIMATE!G29</f>
        <v>9.52</v>
      </c>
      <c r="D15" s="11" t="s">
        <v>15</v>
      </c>
      <c r="E15" s="1">
        <f>[13]ESTIMATE!I29</f>
        <v>679.66</v>
      </c>
      <c r="F15" s="5">
        <f t="shared" si="1"/>
        <v>6470.36</v>
      </c>
    </row>
    <row r="16" spans="1:6">
      <c r="A16" s="13" t="str">
        <f>[13]ESTIMATE!A30</f>
        <v>(v)</v>
      </c>
      <c r="B16" s="4" t="str">
        <f>[13]ESTIMATE!B30</f>
        <v>EARTH-LEAD-01km</v>
      </c>
      <c r="C16" s="6">
        <f>[13]ESTIMATE!G30</f>
        <v>15.18</v>
      </c>
      <c r="D16" s="11" t="s">
        <v>15</v>
      </c>
      <c r="E16" s="34">
        <f>[13]ESTIMATE!I30</f>
        <v>117.54</v>
      </c>
      <c r="F16" s="5">
        <f t="shared" si="1"/>
        <v>1784.26</v>
      </c>
    </row>
    <row r="17" spans="1:6">
      <c r="A17" s="15"/>
      <c r="B17" s="15"/>
      <c r="C17" s="425" t="s">
        <v>24</v>
      </c>
      <c r="D17" s="425"/>
      <c r="E17" s="426"/>
      <c r="F17" s="5">
        <f>SUM(F5:F16)</f>
        <v>99311.67</v>
      </c>
    </row>
    <row r="18" spans="1:6">
      <c r="A18" s="15"/>
      <c r="B18" s="15"/>
      <c r="C18" s="436" t="s">
        <v>25</v>
      </c>
      <c r="D18" s="425"/>
      <c r="E18" s="426"/>
      <c r="F18" s="5">
        <f>ROUND(F17*0.18,2)</f>
        <v>17876.099999999999</v>
      </c>
    </row>
    <row r="19" spans="1:6">
      <c r="A19" s="15"/>
      <c r="B19" s="15"/>
      <c r="C19" s="436" t="s">
        <v>24</v>
      </c>
      <c r="D19" s="425"/>
      <c r="E19" s="426"/>
      <c r="F19" s="5">
        <f>SUM(F17:F18)</f>
        <v>117187.76999999999</v>
      </c>
    </row>
    <row r="20" spans="1:6">
      <c r="A20" s="15"/>
      <c r="B20" s="15"/>
      <c r="C20" s="425" t="s">
        <v>26</v>
      </c>
      <c r="D20" s="425"/>
      <c r="E20" s="426"/>
      <c r="F20" s="5">
        <f>ROUND(F19*0.01,2)</f>
        <v>1171.8800000000001</v>
      </c>
    </row>
    <row r="21" spans="1:6">
      <c r="A21" s="15"/>
      <c r="B21" s="15"/>
      <c r="C21" s="425" t="s">
        <v>24</v>
      </c>
      <c r="D21" s="425"/>
      <c r="E21" s="426"/>
      <c r="F21" s="7">
        <f>SUM(F19:F20)</f>
        <v>118359.65</v>
      </c>
    </row>
    <row r="22" spans="1:6">
      <c r="A22" s="15"/>
      <c r="B22" s="15"/>
      <c r="C22" s="425" t="s">
        <v>27</v>
      </c>
      <c r="D22" s="425"/>
      <c r="E22" s="426"/>
      <c r="F22" s="7">
        <v>118360</v>
      </c>
    </row>
    <row r="23" spans="1:6">
      <c r="A23" s="37"/>
      <c r="B23" s="37"/>
      <c r="C23" s="38"/>
      <c r="D23" s="38"/>
      <c r="E23" s="38"/>
      <c r="F23" s="39"/>
    </row>
    <row r="24" spans="1:6" ht="18">
      <c r="A24" s="40"/>
      <c r="B24" s="40"/>
      <c r="C24" s="41"/>
      <c r="D24" s="41"/>
      <c r="E24" s="41"/>
      <c r="F24" s="42"/>
    </row>
    <row r="25" spans="1:6">
      <c r="A25" s="43"/>
      <c r="B25" s="44"/>
      <c r="C25" s="44"/>
      <c r="D25" s="44"/>
      <c r="E25" s="44"/>
      <c r="F25" s="44"/>
    </row>
    <row r="26" spans="1:6">
      <c r="A26" s="43"/>
      <c r="B26" s="44"/>
      <c r="C26" s="44"/>
      <c r="D26" s="44"/>
      <c r="E26" s="44"/>
      <c r="F26" s="44"/>
    </row>
    <row r="27" spans="1:6" ht="18">
      <c r="A27" s="43"/>
      <c r="B27" s="45"/>
      <c r="C27" s="46"/>
      <c r="D27" s="44"/>
      <c r="E27" s="44"/>
      <c r="F27" s="47"/>
    </row>
    <row r="28" spans="1:6" ht="18">
      <c r="A28" s="43"/>
      <c r="B28" s="45"/>
      <c r="C28" s="46"/>
      <c r="D28" s="44"/>
      <c r="E28" s="44"/>
      <c r="F28" s="47"/>
    </row>
  </sheetData>
  <mergeCells count="9">
    <mergeCell ref="C20:E20"/>
    <mergeCell ref="C21:E21"/>
    <mergeCell ref="C22:E22"/>
    <mergeCell ref="A1:F1"/>
    <mergeCell ref="A2:F2"/>
    <mergeCell ref="A3:F3"/>
    <mergeCell ref="C17:E17"/>
    <mergeCell ref="C18:E18"/>
    <mergeCell ref="C19:E19"/>
  </mergeCells>
  <pageMargins left="0.7" right="0.7" top="0.75" bottom="0.75" header="0.3" footer="0.3"/>
</worksheet>
</file>

<file path=xl/worksheets/sheet17.xml><?xml version="1.0" encoding="utf-8"?>
<worksheet xmlns="http://schemas.openxmlformats.org/spreadsheetml/2006/main" xmlns:r="http://schemas.openxmlformats.org/officeDocument/2006/relationships">
  <dimension ref="A1:F21"/>
  <sheetViews>
    <sheetView workbookViewId="0">
      <selection activeCell="A3" sqref="A3:F3"/>
    </sheetView>
  </sheetViews>
  <sheetFormatPr defaultRowHeight="15"/>
  <cols>
    <col min="1" max="1" width="8" customWidth="1"/>
    <col min="2" max="2" width="39.140625" customWidth="1"/>
    <col min="5" max="5" width="11.140625" customWidth="1"/>
    <col min="6" max="6" width="16.140625" customWidth="1"/>
  </cols>
  <sheetData>
    <row r="1" spans="1:6" ht="26.25">
      <c r="A1" s="449" t="s">
        <v>62</v>
      </c>
      <c r="B1" s="449"/>
      <c r="C1" s="449"/>
      <c r="D1" s="449"/>
      <c r="E1" s="449"/>
      <c r="F1" s="449"/>
    </row>
    <row r="2" spans="1:6" ht="18">
      <c r="A2" s="450" t="s">
        <v>63</v>
      </c>
      <c r="B2" s="450"/>
      <c r="C2" s="450"/>
      <c r="D2" s="450"/>
      <c r="E2" s="450"/>
      <c r="F2" s="450"/>
    </row>
    <row r="3" spans="1:6" ht="34.5" customHeight="1">
      <c r="A3" s="451" t="str">
        <f>[14]ESTIMATE!A2</f>
        <v xml:space="preserve">Name of Work :-IMPROVEMENT OF PCC ROAD AT TASLIM MASZID ROAD FROM TABREJ MEDICAL TO MAQBUL ENCLAVE  UNDER WARD NO. 23 </v>
      </c>
      <c r="B3" s="451"/>
      <c r="C3" s="451"/>
      <c r="D3" s="451"/>
      <c r="E3" s="451"/>
      <c r="F3" s="451"/>
    </row>
    <row r="4" spans="1:6" ht="30">
      <c r="A4" s="48" t="s">
        <v>64</v>
      </c>
      <c r="B4" s="49" t="s">
        <v>3</v>
      </c>
      <c r="C4" s="49" t="s">
        <v>4</v>
      </c>
      <c r="D4" s="49" t="s">
        <v>5</v>
      </c>
      <c r="E4" s="50" t="s">
        <v>65</v>
      </c>
      <c r="F4" s="1" t="s">
        <v>66</v>
      </c>
    </row>
    <row r="5" spans="1:6" ht="25.5">
      <c r="A5" s="48">
        <v>1</v>
      </c>
      <c r="B5" s="51" t="s">
        <v>67</v>
      </c>
      <c r="C5" s="52">
        <f>[14]ESTIMATE!G4</f>
        <v>3</v>
      </c>
      <c r="D5" s="53" t="s">
        <v>41</v>
      </c>
      <c r="E5" s="54">
        <f>[14]ESTIMATE!I4</f>
        <v>326.85000000000002</v>
      </c>
      <c r="F5" s="7">
        <f t="shared" ref="F5:F7" si="0">ROUND(C5*E5,2)</f>
        <v>980.55</v>
      </c>
    </row>
    <row r="6" spans="1:6" ht="76.5">
      <c r="A6" s="48" t="str">
        <f>[14]ESTIMATE!A5</f>
        <v>2.     5.3.1.1</v>
      </c>
      <c r="B6" s="55" t="s">
        <v>68</v>
      </c>
      <c r="C6" s="52">
        <f>[14]ESTIMATE!G8</f>
        <v>71.44</v>
      </c>
      <c r="D6" s="53" t="s">
        <v>15</v>
      </c>
      <c r="E6" s="56">
        <f>[14]ESTIMATE!I8</f>
        <v>4961.7299999999996</v>
      </c>
      <c r="F6" s="7">
        <f t="shared" si="0"/>
        <v>354465.99</v>
      </c>
    </row>
    <row r="7" spans="1:6" ht="51">
      <c r="A7" s="48" t="str">
        <f>[14]ESTIMATE!A9</f>
        <v>3                 5.3.17.1</v>
      </c>
      <c r="B7" s="57" t="s">
        <v>57</v>
      </c>
      <c r="C7" s="58">
        <f>[14]ESTIMATE!G12</f>
        <v>28.81</v>
      </c>
      <c r="D7" s="59" t="s">
        <v>11</v>
      </c>
      <c r="E7" s="60">
        <f>[14]ESTIMATE!I12</f>
        <v>194.5</v>
      </c>
      <c r="F7" s="7">
        <f t="shared" si="0"/>
        <v>5603.55</v>
      </c>
    </row>
    <row r="8" spans="1:6">
      <c r="A8" s="48">
        <f>[14]ESTIMATE!A13</f>
        <v>4</v>
      </c>
      <c r="B8" s="61" t="s">
        <v>12</v>
      </c>
      <c r="C8" s="62"/>
      <c r="D8" s="62"/>
      <c r="E8" s="63"/>
      <c r="F8" s="7"/>
    </row>
    <row r="9" spans="1:6">
      <c r="A9" s="49" t="s">
        <v>13</v>
      </c>
      <c r="B9" s="64" t="s">
        <v>69</v>
      </c>
      <c r="C9" s="62">
        <f>'[14]MATERIAL '!F4</f>
        <v>30.72</v>
      </c>
      <c r="D9" s="62" t="s">
        <v>15</v>
      </c>
      <c r="E9" s="54">
        <f>[14]ESTIMATE!I14</f>
        <v>848.82</v>
      </c>
      <c r="F9" s="7">
        <f>ROUND(C9*E9,2)</f>
        <v>26075.75</v>
      </c>
    </row>
    <row r="10" spans="1:6">
      <c r="A10" s="49" t="s">
        <v>18</v>
      </c>
      <c r="B10" s="65" t="s">
        <v>70</v>
      </c>
      <c r="C10" s="62">
        <f>'[14]MATERIAL '!G4</f>
        <v>61.44</v>
      </c>
      <c r="D10" s="62" t="s">
        <v>15</v>
      </c>
      <c r="E10" s="54">
        <f>[14]ESTIMATE!I15</f>
        <v>447.06</v>
      </c>
      <c r="F10" s="7">
        <f>ROUND(C10*E10,2)</f>
        <v>27467.37</v>
      </c>
    </row>
    <row r="11" spans="1:6">
      <c r="A11" s="66"/>
      <c r="B11" s="67"/>
      <c r="C11" s="452" t="s">
        <v>24</v>
      </c>
      <c r="D11" s="453"/>
      <c r="E11" s="454"/>
      <c r="F11" s="7">
        <f>SUM(F5:F10)</f>
        <v>414593.20999999996</v>
      </c>
    </row>
    <row r="12" spans="1:6">
      <c r="A12" s="66"/>
      <c r="B12" s="67"/>
      <c r="C12" s="446" t="s">
        <v>25</v>
      </c>
      <c r="D12" s="447"/>
      <c r="E12" s="448"/>
      <c r="F12" s="7">
        <f>F11*18%</f>
        <v>74626.777799999996</v>
      </c>
    </row>
    <row r="13" spans="1:6">
      <c r="A13" s="66"/>
      <c r="B13" s="67"/>
      <c r="C13" s="452" t="s">
        <v>24</v>
      </c>
      <c r="D13" s="453"/>
      <c r="E13" s="454"/>
      <c r="F13" s="7">
        <f>SUM(F11+F12)</f>
        <v>489219.98779999994</v>
      </c>
    </row>
    <row r="14" spans="1:6">
      <c r="A14" s="66"/>
      <c r="B14" s="67"/>
      <c r="C14" s="443" t="s">
        <v>71</v>
      </c>
      <c r="D14" s="444"/>
      <c r="E14" s="445"/>
      <c r="F14" s="7">
        <f>F13*1%</f>
        <v>4892.1998779999994</v>
      </c>
    </row>
    <row r="15" spans="1:6">
      <c r="A15" s="66"/>
      <c r="B15" s="67"/>
      <c r="C15" s="446" t="s">
        <v>24</v>
      </c>
      <c r="D15" s="447"/>
      <c r="E15" s="448"/>
      <c r="F15" s="7">
        <f>SUM(F13:F14)</f>
        <v>494112.18767799996</v>
      </c>
    </row>
    <row r="16" spans="1:6">
      <c r="A16" s="66"/>
      <c r="B16" s="67"/>
      <c r="C16" s="446" t="s">
        <v>27</v>
      </c>
      <c r="D16" s="447"/>
      <c r="E16" s="448"/>
      <c r="F16" s="7">
        <v>494112</v>
      </c>
    </row>
    <row r="17" spans="1:6">
      <c r="A17" s="68"/>
      <c r="B17" s="69"/>
      <c r="C17" s="70"/>
      <c r="D17" s="70"/>
      <c r="E17" s="71"/>
      <c r="F17" s="43"/>
    </row>
    <row r="18" spans="1:6" ht="15.75">
      <c r="A18" s="72"/>
      <c r="B18" s="73"/>
      <c r="C18" s="74"/>
      <c r="D18" s="74"/>
      <c r="E18" s="75"/>
      <c r="F18" s="43"/>
    </row>
    <row r="19" spans="1:6" ht="15.75">
      <c r="A19" s="72"/>
      <c r="B19" s="73"/>
      <c r="C19" s="74"/>
      <c r="D19" s="74"/>
      <c r="E19" s="75"/>
      <c r="F19" s="43"/>
    </row>
    <row r="20" spans="1:6" ht="15.75">
      <c r="A20" s="72"/>
      <c r="B20" s="76"/>
      <c r="C20" s="74"/>
      <c r="D20" s="74"/>
      <c r="E20" s="75"/>
      <c r="F20" s="72"/>
    </row>
    <row r="21" spans="1:6" ht="15.75">
      <c r="A21" s="72"/>
      <c r="B21" s="76"/>
      <c r="C21" s="74"/>
      <c r="D21" s="74"/>
      <c r="E21" s="75"/>
      <c r="F21" s="72"/>
    </row>
  </sheetData>
  <mergeCells count="9">
    <mergeCell ref="C14:E14"/>
    <mergeCell ref="C15:E15"/>
    <mergeCell ref="C16:E16"/>
    <mergeCell ref="A1:F1"/>
    <mergeCell ref="A2:F2"/>
    <mergeCell ref="A3:F3"/>
    <mergeCell ref="C11:E11"/>
    <mergeCell ref="C12:E12"/>
    <mergeCell ref="C13:E13"/>
  </mergeCells>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F28"/>
  <sheetViews>
    <sheetView workbookViewId="0">
      <selection activeCell="A3" sqref="A3:F3"/>
    </sheetView>
  </sheetViews>
  <sheetFormatPr defaultRowHeight="15"/>
  <cols>
    <col min="2" max="2" width="51.42578125" customWidth="1"/>
    <col min="6" max="6" width="15.28515625" bestFit="1" customWidth="1"/>
  </cols>
  <sheetData>
    <row r="1" spans="1:6" ht="23.25">
      <c r="A1" s="437" t="s">
        <v>0</v>
      </c>
      <c r="B1" s="438"/>
      <c r="C1" s="438"/>
      <c r="D1" s="438"/>
      <c r="E1" s="438"/>
      <c r="F1" s="439"/>
    </row>
    <row r="2" spans="1:6" ht="18" customHeight="1">
      <c r="A2" s="427" t="s">
        <v>1</v>
      </c>
      <c r="B2" s="428"/>
      <c r="C2" s="428"/>
      <c r="D2" s="428"/>
      <c r="E2" s="428"/>
      <c r="F2" s="429"/>
    </row>
    <row r="3" spans="1:6" ht="29.45" customHeight="1">
      <c r="A3" s="433" t="str">
        <f>[15]ESTIMATE!A2</f>
        <v>Name of Work :-CONSTRUCTION OF PCC ROAD AT SOUTH EAST STREET ROAD, FROM SABBIR AHAMAD SHOP TO NAUSHAD HOUSE UNDER WARD NO-23</v>
      </c>
      <c r="B3" s="434"/>
      <c r="C3" s="434"/>
      <c r="D3" s="434"/>
      <c r="E3" s="434"/>
      <c r="F3" s="435"/>
    </row>
    <row r="4" spans="1:6" ht="30">
      <c r="A4" s="1" t="s">
        <v>2</v>
      </c>
      <c r="B4" s="2" t="s">
        <v>3</v>
      </c>
      <c r="C4" s="2" t="s">
        <v>4</v>
      </c>
      <c r="D4" s="2" t="s">
        <v>5</v>
      </c>
      <c r="E4" s="1" t="s">
        <v>6</v>
      </c>
      <c r="F4" s="1" t="s">
        <v>7</v>
      </c>
    </row>
    <row r="5" spans="1:6" ht="28.5">
      <c r="A5" s="1">
        <f>[15]ESTIMATE!A4</f>
        <v>1</v>
      </c>
      <c r="B5" s="4" t="str">
        <f>[15]ESTIMATE!B4</f>
        <v>Labour for site clearence before and after the work etc.</v>
      </c>
      <c r="C5" s="5">
        <f>[15]ESTIMATE!G4</f>
        <v>1</v>
      </c>
      <c r="D5" s="6" t="str">
        <f>[15]ESTIMATE!H4</f>
        <v>No.</v>
      </c>
      <c r="E5" s="5">
        <f>[15]ESTIMATE!I4</f>
        <v>326.85000000000002</v>
      </c>
      <c r="F5" s="5">
        <f t="shared" ref="F5:F10" si="0">ROUND(C5*E5,2)</f>
        <v>326.85000000000002</v>
      </c>
    </row>
    <row r="6" spans="1:6" ht="99.75">
      <c r="A6" s="1" t="str">
        <f>[15]ESTIMATE!A5</f>
        <v>2       5.1.1.</v>
      </c>
      <c r="B6" s="4" t="str">
        <f>[15]ESTIMATE!B5</f>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
      <c r="C6" s="5">
        <f>[15]ESTIMATE!G8</f>
        <v>22.77</v>
      </c>
      <c r="D6" s="6" t="s">
        <v>15</v>
      </c>
      <c r="E6" s="5">
        <f>[15]ESTIMATE!I8</f>
        <v>151.82</v>
      </c>
      <c r="F6" s="5">
        <f t="shared" si="0"/>
        <v>3456.94</v>
      </c>
    </row>
    <row r="7" spans="1:6" ht="99.75">
      <c r="A7" s="1" t="str">
        <f>[15]ESTIMATE!A9</f>
        <v>3.         5.1.10</v>
      </c>
      <c r="B7" s="4" t="str">
        <f>[15]ESTIMATE!B9</f>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
      <c r="C7" s="5">
        <f>[15]ESTIMATE!G12</f>
        <v>8.5</v>
      </c>
      <c r="D7" s="6" t="s">
        <v>15</v>
      </c>
      <c r="E7" s="5">
        <f>[15]ESTIMATE!I12</f>
        <v>589.51</v>
      </c>
      <c r="F7" s="5">
        <f t="shared" si="0"/>
        <v>5010.84</v>
      </c>
    </row>
    <row r="8" spans="1:6" ht="71.25">
      <c r="A8" s="1" t="str">
        <f>[15]ESTIMATE!A13</f>
        <v>4.       5.6.8 (C.I.W.)</v>
      </c>
      <c r="B8" s="4" t="str">
        <f>[15]ESTIMATE!B13</f>
        <v>Supplying and laying (properly as per design and drawing )rip-rap with good quality of boulders duly packed including the cost of materials,royalty all taxes etc.but excluding the cost of carriage, all complete as per specification and direction of E/I.</v>
      </c>
      <c r="C8" s="5">
        <f>[15]ESTIMATE!G16</f>
        <v>14.27</v>
      </c>
      <c r="D8" s="6" t="s">
        <v>15</v>
      </c>
      <c r="E8" s="5">
        <f>[15]ESTIMATE!I16</f>
        <v>1756.4</v>
      </c>
      <c r="F8" s="5">
        <f t="shared" si="0"/>
        <v>25063.83</v>
      </c>
    </row>
    <row r="9" spans="1:6" ht="65.099999999999994" customHeight="1">
      <c r="A9" s="1" t="str">
        <f>[15]ESTIMATE!A17</f>
        <v>5.     5.3.1.1</v>
      </c>
      <c r="B9" s="8" t="str">
        <f>[15]ESTIMATE!B17</f>
        <v xml:space="preserve">Providing and laying in position cement concrete of specified grade excluding the cost of centering and shuttering- All work upto plinth level : 1:1½:3 (1 cemet : 1½ coarse sand (zone-iii) : 3 graded stone aggregate 20mm nominal size )  </v>
      </c>
      <c r="C9" s="5">
        <f>[15]ESTIMATE!G20</f>
        <v>16.989999999999998</v>
      </c>
      <c r="D9" s="6" t="s">
        <v>15</v>
      </c>
      <c r="E9" s="5">
        <f>[15]ESTIMATE!I20</f>
        <v>4961.7299999999996</v>
      </c>
      <c r="F9" s="5">
        <f t="shared" si="0"/>
        <v>84299.79</v>
      </c>
    </row>
    <row r="10" spans="1:6" ht="42.75">
      <c r="A10" s="1" t="str">
        <f>[15]ESTIMATE!A21</f>
        <v>6               5.3.17.1</v>
      </c>
      <c r="B10" s="4" t="str">
        <f>[15]ESTIMATE!B21</f>
        <v>Centering and shuttering including strutting, propping etc. and removal of from for Foundations, footings, bases of columns, etc. for mass concrete.</v>
      </c>
      <c r="C10" s="5">
        <f>[15]ESTIMATE!G24</f>
        <v>18.59</v>
      </c>
      <c r="D10" s="9" t="s">
        <v>11</v>
      </c>
      <c r="E10" s="1">
        <f>[15]ESTIMATE!I24</f>
        <v>194.5</v>
      </c>
      <c r="F10" s="34">
        <f t="shared" si="0"/>
        <v>3615.76</v>
      </c>
    </row>
    <row r="11" spans="1:6">
      <c r="A11" s="1">
        <f>[15]ESTIMATE!A25</f>
        <v>7</v>
      </c>
      <c r="B11" s="10" t="s">
        <v>12</v>
      </c>
      <c r="C11" s="6"/>
      <c r="D11" s="11"/>
      <c r="E11" s="12"/>
      <c r="F11" s="5"/>
    </row>
    <row r="12" spans="1:6">
      <c r="A12" s="13" t="str">
        <f>[15]ESTIMATE!A26</f>
        <v>(i)</v>
      </c>
      <c r="B12" s="35" t="str">
        <f>[15]ESTIMATE!B26</f>
        <v>SAND-LEAD-49KM</v>
      </c>
      <c r="C12" s="6">
        <f>[15]ESTIMATE!G26</f>
        <v>7.31</v>
      </c>
      <c r="D12" s="11" t="s">
        <v>15</v>
      </c>
      <c r="E12" s="1">
        <f>[15]ESTIMATE!I26</f>
        <v>848.82</v>
      </c>
      <c r="F12" s="5">
        <f t="shared" ref="F12:F16" si="1">ROUND(C12*E12,2)</f>
        <v>6204.87</v>
      </c>
    </row>
    <row r="13" spans="1:6">
      <c r="A13" s="13" t="str">
        <f>[15]ESTIMATE!A27</f>
        <v>(ii)</v>
      </c>
      <c r="B13" s="35" t="str">
        <f>[15]ESTIMATE!B27</f>
        <v>LOCAL SAND-LEAD-14KM</v>
      </c>
      <c r="C13" s="6">
        <f>[15]ESTIMATE!G27</f>
        <v>8.5</v>
      </c>
      <c r="D13" s="11" t="s">
        <v>15</v>
      </c>
      <c r="E13" s="34">
        <f>[15]ESTIMATE!I27</f>
        <v>328.02</v>
      </c>
      <c r="F13" s="5">
        <f t="shared" si="1"/>
        <v>2788.17</v>
      </c>
    </row>
    <row r="14" spans="1:6">
      <c r="A14" s="13" t="str">
        <f>[15]ESTIMATE!A28</f>
        <v>(iii)</v>
      </c>
      <c r="B14" s="36" t="str">
        <f>[15]ESTIMATE!B28</f>
        <v>STONE CHIPS-LEAD-22KM</v>
      </c>
      <c r="C14" s="6">
        <f>[15]ESTIMATE!G28</f>
        <v>14.61</v>
      </c>
      <c r="D14" s="11" t="s">
        <v>15</v>
      </c>
      <c r="E14" s="34">
        <f>[15]ESTIMATE!I28</f>
        <v>447.06</v>
      </c>
      <c r="F14" s="5">
        <f t="shared" si="1"/>
        <v>6531.55</v>
      </c>
    </row>
    <row r="15" spans="1:6">
      <c r="A15" s="13" t="str">
        <f>[15]ESTIMATE!A29</f>
        <v>(iv)</v>
      </c>
      <c r="B15" s="36" t="str">
        <f>[15]ESTIMATE!B29</f>
        <v>BOULDER-LEAD-36KM</v>
      </c>
      <c r="C15" s="6">
        <f>[15]ESTIMATE!G29</f>
        <v>14.27</v>
      </c>
      <c r="D15" s="11" t="s">
        <v>15</v>
      </c>
      <c r="E15" s="1">
        <f>[15]ESTIMATE!I29</f>
        <v>679.66</v>
      </c>
      <c r="F15" s="5">
        <f t="shared" si="1"/>
        <v>9698.75</v>
      </c>
    </row>
    <row r="16" spans="1:6">
      <c r="A16" s="13" t="str">
        <f>[15]ESTIMATE!A30</f>
        <v>(v)</v>
      </c>
      <c r="B16" s="4" t="str">
        <f>[15]ESTIMATE!B30</f>
        <v>EARTH-LEAD-01km</v>
      </c>
      <c r="C16" s="6">
        <f>[15]ESTIMATE!G30</f>
        <v>22.77</v>
      </c>
      <c r="D16" s="11" t="s">
        <v>15</v>
      </c>
      <c r="E16" s="34">
        <f>[15]ESTIMATE!I30</f>
        <v>117.54</v>
      </c>
      <c r="F16" s="5">
        <f t="shared" si="1"/>
        <v>2676.39</v>
      </c>
    </row>
    <row r="17" spans="1:6">
      <c r="A17" s="15"/>
      <c r="B17" s="15"/>
      <c r="C17" s="425" t="s">
        <v>24</v>
      </c>
      <c r="D17" s="425"/>
      <c r="E17" s="426"/>
      <c r="F17" s="5">
        <f>SUM(F5:F16)</f>
        <v>149673.74</v>
      </c>
    </row>
    <row r="18" spans="1:6">
      <c r="A18" s="15"/>
      <c r="B18" s="15"/>
      <c r="C18" s="436" t="s">
        <v>25</v>
      </c>
      <c r="D18" s="425"/>
      <c r="E18" s="426"/>
      <c r="F18" s="5">
        <f>ROUND(F17*0.18,2)</f>
        <v>26941.27</v>
      </c>
    </row>
    <row r="19" spans="1:6">
      <c r="A19" s="15"/>
      <c r="B19" s="15"/>
      <c r="C19" s="436" t="s">
        <v>24</v>
      </c>
      <c r="D19" s="425"/>
      <c r="E19" s="426"/>
      <c r="F19" s="5">
        <f>SUM(F17:F18)</f>
        <v>176615.00999999998</v>
      </c>
    </row>
    <row r="20" spans="1:6">
      <c r="A20" s="15"/>
      <c r="B20" s="15"/>
      <c r="C20" s="425" t="s">
        <v>26</v>
      </c>
      <c r="D20" s="425"/>
      <c r="E20" s="426"/>
      <c r="F20" s="5">
        <f>ROUND(F19*0.01,2)</f>
        <v>1766.15</v>
      </c>
    </row>
    <row r="21" spans="1:6">
      <c r="A21" s="15"/>
      <c r="B21" s="15"/>
      <c r="C21" s="425" t="s">
        <v>24</v>
      </c>
      <c r="D21" s="425"/>
      <c r="E21" s="426"/>
      <c r="F21" s="7">
        <f>SUM(F19:F20)</f>
        <v>178381.15999999997</v>
      </c>
    </row>
    <row r="22" spans="1:6">
      <c r="A22" s="15"/>
      <c r="B22" s="15"/>
      <c r="C22" s="425" t="s">
        <v>27</v>
      </c>
      <c r="D22" s="425"/>
      <c r="E22" s="426"/>
      <c r="F22" s="7">
        <v>178381</v>
      </c>
    </row>
    <row r="23" spans="1:6">
      <c r="A23" s="37"/>
      <c r="B23" s="37"/>
      <c r="C23" s="38"/>
      <c r="D23" s="38"/>
      <c r="E23" s="38"/>
      <c r="F23" s="39"/>
    </row>
    <row r="24" spans="1:6" ht="18">
      <c r="A24" s="40"/>
      <c r="B24" s="40"/>
      <c r="C24" s="41"/>
      <c r="D24" s="41"/>
      <c r="E24" s="41"/>
      <c r="F24" s="42"/>
    </row>
    <row r="25" spans="1:6">
      <c r="A25" s="43"/>
      <c r="B25" s="44"/>
      <c r="C25" s="44"/>
      <c r="D25" s="44"/>
      <c r="E25" s="44"/>
      <c r="F25" s="44"/>
    </row>
    <row r="26" spans="1:6">
      <c r="A26" s="43"/>
      <c r="B26" s="44"/>
      <c r="C26" s="44"/>
      <c r="D26" s="44"/>
      <c r="E26" s="44"/>
      <c r="F26" s="44"/>
    </row>
    <row r="27" spans="1:6" ht="18">
      <c r="A27" s="43"/>
      <c r="B27" s="45"/>
      <c r="C27" s="46"/>
      <c r="D27" s="44"/>
      <c r="E27" s="44"/>
      <c r="F27" s="47"/>
    </row>
    <row r="28" spans="1:6" ht="18">
      <c r="A28" s="43"/>
      <c r="B28" s="45"/>
      <c r="C28" s="46"/>
      <c r="D28" s="44"/>
      <c r="E28" s="44"/>
      <c r="F28" s="47"/>
    </row>
  </sheetData>
  <mergeCells count="9">
    <mergeCell ref="C20:E20"/>
    <mergeCell ref="C21:E21"/>
    <mergeCell ref="C22:E22"/>
    <mergeCell ref="A1:F1"/>
    <mergeCell ref="A2:F2"/>
    <mergeCell ref="A3:F3"/>
    <mergeCell ref="C17:E17"/>
    <mergeCell ref="C18:E18"/>
    <mergeCell ref="C19:E19"/>
  </mergeCell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F25"/>
  <sheetViews>
    <sheetView workbookViewId="0">
      <selection activeCell="A3" sqref="A3:F3"/>
    </sheetView>
  </sheetViews>
  <sheetFormatPr defaultRowHeight="15"/>
  <cols>
    <col min="2" max="2" width="49.5703125" customWidth="1"/>
    <col min="6" max="6" width="14.140625" style="81" customWidth="1"/>
  </cols>
  <sheetData>
    <row r="1" spans="1:6" ht="26.25">
      <c r="A1" s="455" t="s">
        <v>0</v>
      </c>
      <c r="B1" s="456"/>
      <c r="C1" s="456"/>
      <c r="D1" s="456"/>
      <c r="E1" s="456"/>
      <c r="F1" s="457"/>
    </row>
    <row r="2" spans="1:6" ht="18">
      <c r="A2" s="427" t="s">
        <v>1</v>
      </c>
      <c r="B2" s="428"/>
      <c r="C2" s="428"/>
      <c r="D2" s="428"/>
      <c r="E2" s="428"/>
      <c r="F2" s="429"/>
    </row>
    <row r="3" spans="1:6" ht="30.95" customHeight="1">
      <c r="A3" s="433" t="str">
        <f>[16]ESTIMATE!A2</f>
        <v>Name of Work :-LAYING OF PAVER BLOK AT JAMIA HUSSAINIA AND IMLI TOLA, EMAM BARA UNDER WARD NO.24</v>
      </c>
      <c r="B3" s="434"/>
      <c r="C3" s="434"/>
      <c r="D3" s="434"/>
      <c r="E3" s="434"/>
      <c r="F3" s="435"/>
    </row>
    <row r="4" spans="1:6" ht="30">
      <c r="A4" s="1" t="s">
        <v>2</v>
      </c>
      <c r="B4" s="2" t="s">
        <v>3</v>
      </c>
      <c r="C4" s="2" t="s">
        <v>4</v>
      </c>
      <c r="D4" s="2" t="s">
        <v>5</v>
      </c>
      <c r="E4" s="1" t="s">
        <v>6</v>
      </c>
      <c r="F4" s="3" t="s">
        <v>7</v>
      </c>
    </row>
    <row r="5" spans="1:6" ht="33.6" customHeight="1">
      <c r="A5" s="1">
        <f>[16]ESTIMATE!A4</f>
        <v>1</v>
      </c>
      <c r="B5" s="77" t="str">
        <f>[16]ESTIMATE!B4</f>
        <v>Labour for clearning the work site before and after work etc.</v>
      </c>
      <c r="C5" s="5">
        <f>[16]ESTIMATE!G4</f>
        <v>5</v>
      </c>
      <c r="D5" s="6" t="s">
        <v>15</v>
      </c>
      <c r="E5" s="5">
        <f>[16]ESTIMATE!I4</f>
        <v>326.85000000000002</v>
      </c>
      <c r="F5" s="7">
        <f t="shared" ref="F5:F8" si="0">ROUND(C5*E5,2)</f>
        <v>1634.25</v>
      </c>
    </row>
    <row r="6" spans="1:6" ht="98.1" customHeight="1">
      <c r="A6" s="1" t="str">
        <f>[16]ESTIMATE!A5</f>
        <v>2       5.1.1.</v>
      </c>
      <c r="B6" s="4" t="str">
        <f>[16]ESTIMATE!B5</f>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
      <c r="C6" s="5">
        <f>[16]ESTIMATE!G11</f>
        <v>85.57</v>
      </c>
      <c r="D6" s="6" t="s">
        <v>15</v>
      </c>
      <c r="E6" s="5">
        <f>[16]ESTIMATE!I11</f>
        <v>151.82</v>
      </c>
      <c r="F6" s="7">
        <f t="shared" si="0"/>
        <v>12991.24</v>
      </c>
    </row>
    <row r="7" spans="1:6" ht="213.75">
      <c r="A7" s="1" t="str">
        <f>[16]ESTIMATE!A12</f>
        <v>3.       16.91.2   DSR</v>
      </c>
      <c r="B7" s="4" t="str">
        <f>[17]ESTIMATE!B13</f>
        <v>Providing and laying factory made chamfered edge 80mm thick cement concrete paver block  of M-30 grade with approved colour design and pattern using in footpath ,parks ,lawns,drive ways or lighttraffic parking etc,of required strength thickness and size shape made by table vibratory method using PU mould ,laid in required coloure and pattern over 50mm thick compacted bed of sand ,compacting and proper embedding laying of interlocking  paver blocks into the sand bedding layer through vibratory compaction by using plate vibrator,filling the joints with sand cutting of paver blocks as per required size and pattern ,finishing and sweeing extra sand complete all as per direction of  E/I</v>
      </c>
      <c r="C7" s="5">
        <f>[16]ESTIMATE!G18</f>
        <v>421.19</v>
      </c>
      <c r="D7" s="6" t="s">
        <v>15</v>
      </c>
      <c r="E7" s="5">
        <f>[17]ESTIMATE!I16</f>
        <v>877.72</v>
      </c>
      <c r="F7" s="7">
        <f t="shared" si="0"/>
        <v>369686.89</v>
      </c>
    </row>
    <row r="8" spans="1:6" ht="71.25">
      <c r="A8" s="1" t="str">
        <f>[16]ESTIMATE!A19</f>
        <v>4           5.3.1.1</v>
      </c>
      <c r="B8" s="4" t="str">
        <f>[16]ESTIMATE!B19</f>
        <v xml:space="preserve">Providing and laying in position concrete of specified grade excluding the cost of centering and shuttering- All work upto plinth level :  1:1½:3 (1 cemet : 1½ coarse sand (zone-iii) : 3 graded stone aggregate 20mm nominal size )  </v>
      </c>
      <c r="C8" s="5">
        <f>[16]ESTIMATE!G25</f>
        <v>0.9</v>
      </c>
      <c r="D8" s="6" t="s">
        <v>15</v>
      </c>
      <c r="E8" s="5">
        <f>[17]ESTIMATE!I20</f>
        <v>4961.7299999999996</v>
      </c>
      <c r="F8" s="7">
        <f t="shared" si="0"/>
        <v>4465.5600000000004</v>
      </c>
    </row>
    <row r="9" spans="1:6">
      <c r="A9" s="9">
        <v>5</v>
      </c>
      <c r="B9" s="78" t="s">
        <v>12</v>
      </c>
      <c r="C9" s="6"/>
      <c r="D9" s="11"/>
      <c r="E9" s="12"/>
      <c r="F9" s="7"/>
    </row>
    <row r="10" spans="1:6">
      <c r="A10" s="9" t="s">
        <v>13</v>
      </c>
      <c r="B10" s="35" t="s">
        <v>72</v>
      </c>
      <c r="C10" s="6">
        <f>[16]ESTIMATE!G27</f>
        <v>0.39</v>
      </c>
      <c r="D10" s="11" t="s">
        <v>15</v>
      </c>
      <c r="E10" s="79">
        <v>819.06</v>
      </c>
      <c r="F10" s="7">
        <f t="shared" ref="F10:F12" si="1">ROUND(C10*E10,2)</f>
        <v>319.43</v>
      </c>
    </row>
    <row r="11" spans="1:6">
      <c r="A11" s="9" t="s">
        <v>16</v>
      </c>
      <c r="B11" s="36" t="s">
        <v>73</v>
      </c>
      <c r="C11" s="6">
        <f>[16]ESTIMATE!G28</f>
        <v>0.77</v>
      </c>
      <c r="D11" s="11" t="s">
        <v>15</v>
      </c>
      <c r="E11" s="79">
        <v>417.3</v>
      </c>
      <c r="F11" s="7">
        <f t="shared" si="1"/>
        <v>321.32</v>
      </c>
    </row>
    <row r="12" spans="1:6">
      <c r="A12" s="9" t="s">
        <v>18</v>
      </c>
      <c r="B12" s="4" t="s">
        <v>74</v>
      </c>
      <c r="C12" s="6">
        <f>[16]ESTIMATE!G29</f>
        <v>85.57</v>
      </c>
      <c r="D12" s="11" t="s">
        <v>15</v>
      </c>
      <c r="E12" s="79">
        <v>117.54</v>
      </c>
      <c r="F12" s="7">
        <f t="shared" si="1"/>
        <v>10057.9</v>
      </c>
    </row>
    <row r="13" spans="1:6">
      <c r="A13" s="15"/>
      <c r="B13" s="15"/>
      <c r="C13" s="425" t="s">
        <v>24</v>
      </c>
      <c r="D13" s="425"/>
      <c r="E13" s="426"/>
      <c r="F13" s="7">
        <f>SUM(F5:F12)</f>
        <v>399476.59</v>
      </c>
    </row>
    <row r="14" spans="1:6">
      <c r="A14" s="15"/>
      <c r="B14" s="15"/>
      <c r="C14" s="436" t="s">
        <v>25</v>
      </c>
      <c r="D14" s="425"/>
      <c r="E14" s="426"/>
      <c r="F14" s="7">
        <f>F13*18%</f>
        <v>71905.786200000002</v>
      </c>
    </row>
    <row r="15" spans="1:6">
      <c r="A15" s="15"/>
      <c r="B15" s="15"/>
      <c r="C15" s="436" t="s">
        <v>24</v>
      </c>
      <c r="D15" s="425"/>
      <c r="E15" s="426"/>
      <c r="F15" s="7">
        <f>SUM(F13:F14)</f>
        <v>471382.37620000006</v>
      </c>
    </row>
    <row r="16" spans="1:6">
      <c r="A16" s="15"/>
      <c r="B16" s="15"/>
      <c r="C16" s="425" t="s">
        <v>71</v>
      </c>
      <c r="D16" s="425"/>
      <c r="E16" s="426"/>
      <c r="F16" s="7">
        <f>ROUND(F15*0.01,2)</f>
        <v>4713.82</v>
      </c>
    </row>
    <row r="17" spans="1:6">
      <c r="A17" s="15"/>
      <c r="B17" s="15"/>
      <c r="C17" s="425" t="s">
        <v>24</v>
      </c>
      <c r="D17" s="425"/>
      <c r="E17" s="426"/>
      <c r="F17" s="7">
        <f>SUM(F15:F16)</f>
        <v>476096.19620000006</v>
      </c>
    </row>
    <row r="18" spans="1:6" ht="18">
      <c r="A18" s="40"/>
      <c r="B18" s="40"/>
      <c r="C18" s="41"/>
      <c r="D18" s="41"/>
      <c r="E18" s="41"/>
      <c r="F18" s="42"/>
    </row>
    <row r="19" spans="1:6" ht="18">
      <c r="A19" s="40"/>
      <c r="B19" s="40"/>
      <c r="C19" s="41"/>
      <c r="D19" s="41"/>
      <c r="E19" s="41"/>
      <c r="F19" s="42"/>
    </row>
    <row r="20" spans="1:6">
      <c r="A20" s="43"/>
      <c r="B20" s="44"/>
      <c r="C20" s="44"/>
      <c r="D20" s="44"/>
      <c r="E20" s="44"/>
      <c r="F20" s="80"/>
    </row>
    <row r="21" spans="1:6">
      <c r="A21" s="43"/>
      <c r="B21" s="44"/>
      <c r="C21" s="44"/>
      <c r="D21" s="44"/>
      <c r="E21" s="44"/>
      <c r="F21" s="80"/>
    </row>
    <row r="22" spans="1:6" ht="18">
      <c r="A22" s="43"/>
      <c r="B22" s="45" t="s">
        <v>28</v>
      </c>
      <c r="C22" s="46" t="s">
        <v>29</v>
      </c>
      <c r="D22" s="44"/>
      <c r="E22" s="44"/>
      <c r="F22" s="42" t="s">
        <v>30</v>
      </c>
    </row>
    <row r="23" spans="1:6" ht="18">
      <c r="A23" s="43"/>
      <c r="B23" s="45" t="s">
        <v>31</v>
      </c>
      <c r="C23" s="46" t="s">
        <v>32</v>
      </c>
      <c r="D23" s="44"/>
      <c r="E23" s="44"/>
      <c r="F23" s="42" t="s">
        <v>31</v>
      </c>
    </row>
    <row r="24" spans="1:6">
      <c r="A24" s="44"/>
      <c r="B24" s="44"/>
      <c r="C24" s="44"/>
      <c r="D24" s="44"/>
      <c r="E24" s="44"/>
      <c r="F24" s="37"/>
    </row>
    <row r="25" spans="1:6">
      <c r="A25" s="44"/>
      <c r="B25" s="44"/>
      <c r="C25" s="44"/>
      <c r="D25" s="44"/>
      <c r="E25" s="44"/>
      <c r="F25" s="37"/>
    </row>
  </sheetData>
  <mergeCells count="8">
    <mergeCell ref="C16:E16"/>
    <mergeCell ref="C17:E17"/>
    <mergeCell ref="A1:F1"/>
    <mergeCell ref="A2:F2"/>
    <mergeCell ref="A3:F3"/>
    <mergeCell ref="C13:E13"/>
    <mergeCell ref="C14:E14"/>
    <mergeCell ref="C15:E15"/>
  </mergeCells>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I26"/>
  <sheetViews>
    <sheetView workbookViewId="0">
      <selection activeCell="A3" sqref="A3:F3"/>
    </sheetView>
  </sheetViews>
  <sheetFormatPr defaultRowHeight="15"/>
  <cols>
    <col min="1" max="1" width="9.5703125" customWidth="1"/>
    <col min="2" max="2" width="55.28515625" customWidth="1"/>
    <col min="4" max="4" width="9.140625" style="88"/>
    <col min="5" max="5" width="13.140625" customWidth="1"/>
    <col min="6" max="6" width="14.85546875" customWidth="1"/>
  </cols>
  <sheetData>
    <row r="1" spans="1:9" ht="21" customHeight="1">
      <c r="A1" s="460" t="s">
        <v>0</v>
      </c>
      <c r="B1" s="461"/>
      <c r="C1" s="461"/>
      <c r="D1" s="461"/>
      <c r="E1" s="461"/>
      <c r="F1" s="461"/>
      <c r="G1" s="82"/>
      <c r="H1" s="82"/>
      <c r="I1" s="82"/>
    </row>
    <row r="2" spans="1:9" ht="21" customHeight="1">
      <c r="A2" s="462" t="s">
        <v>75</v>
      </c>
      <c r="B2" s="462"/>
      <c r="C2" s="462"/>
      <c r="D2" s="462"/>
      <c r="E2" s="462"/>
      <c r="F2" s="462"/>
      <c r="G2" s="83"/>
      <c r="H2" s="83"/>
      <c r="I2" s="83"/>
    </row>
    <row r="3" spans="1:9" ht="30.6" customHeight="1">
      <c r="A3" s="463" t="str">
        <f>[18]Estimate!A2</f>
        <v>Name of Work :-INSTALLATION OF RALLING ON BRIDGE AT RIVER SIDE, BESIDE LALALAJ PATRAI SCHOOL UNDER WARD NO-24</v>
      </c>
      <c r="B3" s="464"/>
      <c r="C3" s="464"/>
      <c r="D3" s="464"/>
      <c r="E3" s="464"/>
      <c r="F3" s="465"/>
    </row>
    <row r="4" spans="1:9" ht="32.1" customHeight="1">
      <c r="A4" s="48" t="s">
        <v>64</v>
      </c>
      <c r="B4" s="49" t="s">
        <v>3</v>
      </c>
      <c r="C4" s="49" t="s">
        <v>4</v>
      </c>
      <c r="D4" s="49" t="s">
        <v>5</v>
      </c>
      <c r="E4" s="54" t="s">
        <v>65</v>
      </c>
      <c r="F4" s="1" t="s">
        <v>66</v>
      </c>
    </row>
    <row r="5" spans="1:9" ht="14.45" customHeight="1">
      <c r="A5" s="48">
        <f>[18]Estimate!A4</f>
        <v>1</v>
      </c>
      <c r="B5" s="51" t="str">
        <f>[18]Estimate!B4</f>
        <v>Labour for site clearence before and after the work etc.</v>
      </c>
      <c r="C5" s="52">
        <f>[18]Estimate!G4</f>
        <v>6</v>
      </c>
      <c r="D5" s="53" t="s">
        <v>41</v>
      </c>
      <c r="E5" s="54">
        <f>[18]Estimate!I4</f>
        <v>326.85000000000002</v>
      </c>
      <c r="F5" s="7">
        <f t="shared" ref="F5:F14" si="0">ROUND(C5*E5,2)</f>
        <v>1961.1</v>
      </c>
    </row>
    <row r="6" spans="1:9" ht="14.45" customHeight="1">
      <c r="A6" s="48">
        <f>[18]Estimate!A5</f>
        <v>2</v>
      </c>
      <c r="B6" s="51" t="str">
        <f>[18]Estimate!B5</f>
        <v>Railing Welding :- Welder Grade-(i) 1 Nos@ 6days</v>
      </c>
      <c r="C6" s="52">
        <f>[18]Estimate!G5</f>
        <v>3</v>
      </c>
      <c r="D6" s="53" t="s">
        <v>41</v>
      </c>
      <c r="E6" s="54">
        <f>[18]Estimate!I5</f>
        <v>521.41999999999996</v>
      </c>
      <c r="F6" s="7">
        <f t="shared" si="0"/>
        <v>1564.26</v>
      </c>
    </row>
    <row r="7" spans="1:9" ht="65.45" customHeight="1">
      <c r="A7" s="48" t="str">
        <f>[18]Estimate!A6</f>
        <v>3         5.1.1.</v>
      </c>
      <c r="B7" s="57" t="str">
        <f>[18]Estimate!B6</f>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
      <c r="C7" s="52">
        <f>[18]Estimate!G9</f>
        <v>0.6</v>
      </c>
      <c r="D7" s="53" t="s">
        <v>15</v>
      </c>
      <c r="E7" s="60">
        <f>[18]Estimate!I9</f>
        <v>151.82</v>
      </c>
      <c r="F7" s="7">
        <f t="shared" si="0"/>
        <v>91.09</v>
      </c>
    </row>
    <row r="8" spans="1:9" ht="65.45" customHeight="1">
      <c r="A8" s="48" t="str">
        <f>[18]Estimate!A10</f>
        <v>4.         5.1.10</v>
      </c>
      <c r="B8" s="57" t="str">
        <f>[18]Estimate!B10</f>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
      <c r="C8" s="52">
        <f>[18]Estimate!G13</f>
        <v>0.06</v>
      </c>
      <c r="D8" s="53" t="s">
        <v>15</v>
      </c>
      <c r="E8" s="60">
        <f>[18]Estimate!I13</f>
        <v>589.53</v>
      </c>
      <c r="F8" s="7">
        <f t="shared" si="0"/>
        <v>35.369999999999997</v>
      </c>
    </row>
    <row r="9" spans="1:9" ht="51">
      <c r="A9" s="48" t="str">
        <f>[18]Estimate!A14</f>
        <v>5.         5.6.8</v>
      </c>
      <c r="B9" s="57" t="str">
        <f>[18]Estimate!B14</f>
        <v>Supplying and laying (properly as per design and drawing ) rip-rap with good quality of boulders duly packed including the cost of materials,royalty all taxes etc.but excluding the cost of carriage, all complete as per specification and direction of E/I.</v>
      </c>
      <c r="C9" s="52">
        <f>[18]Estimate!G17</f>
        <v>0.1</v>
      </c>
      <c r="D9" s="53" t="s">
        <v>15</v>
      </c>
      <c r="E9" s="60">
        <f>[18]Estimate!I17</f>
        <v>1756.4</v>
      </c>
      <c r="F9" s="7">
        <f t="shared" si="0"/>
        <v>175.64</v>
      </c>
    </row>
    <row r="10" spans="1:9" ht="49.5" customHeight="1">
      <c r="A10" s="48" t="str">
        <f>[18]Estimate!A18</f>
        <v>6.        5.3.1.1</v>
      </c>
      <c r="B10" s="55" t="str">
        <f>[18]Estimate!B18</f>
        <v xml:space="preserve">Providing and laying in position concrete of specified grade excluding the cost of centering and shuttering- All work upto plinth level : 1:1½:3 (1 cemet : 1½ coarse sand (zone-iii) : 3 graded stone aggregate 20mm nominal size )  </v>
      </c>
      <c r="C10" s="52">
        <f>[18]Estimate!G22</f>
        <v>0.37</v>
      </c>
      <c r="D10" s="53" t="s">
        <v>15</v>
      </c>
      <c r="E10" s="56">
        <f>[18]Estimate!I22</f>
        <v>4961.7299999999996</v>
      </c>
      <c r="F10" s="7">
        <f t="shared" si="0"/>
        <v>1835.84</v>
      </c>
    </row>
    <row r="11" spans="1:9" ht="45.6" customHeight="1">
      <c r="A11" s="48" t="str">
        <f>[18]Estimate!A24</f>
        <v>7                 5.5.30</v>
      </c>
      <c r="B11" s="84" t="str">
        <f>[18]Estimate!B24</f>
        <v>Supplying fitting and fixing M.S grill gate with M.S grills made of 20x6mm M.S flats or 16mm M.S square bars fitted on 25x25x6mm M.S Angle frame –do—(when steel is not supplied by the deptt.)</v>
      </c>
      <c r="C11" s="52">
        <f>[18]Estimate!G33</f>
        <v>388.69550000000004</v>
      </c>
      <c r="D11" s="53" t="str">
        <f>[18]Estimate!H33</f>
        <v>kg</v>
      </c>
      <c r="E11" s="60">
        <f>[18]Estimate!I33</f>
        <v>118.98</v>
      </c>
      <c r="F11" s="7">
        <f t="shared" si="0"/>
        <v>46246.99</v>
      </c>
    </row>
    <row r="12" spans="1:9" ht="60" customHeight="1">
      <c r="A12" s="48" t="str">
        <f>[18]Estimate!A34</f>
        <v>8         5.8.41</v>
      </c>
      <c r="B12" s="57" t="str">
        <f>[18]Estimate!B34</f>
        <v>Providing primer one coat of red lead paint of approved make over new steel surface including preparing the surface after cleaning removing dust,dirt,scales ,smokes and grease and cleaning the surface thoroughly including cost of scaffholding and taxes all complete as per building specification and direction of E/I</v>
      </c>
      <c r="C12" s="52">
        <f>[18]Estimate!G39</f>
        <v>27.1</v>
      </c>
      <c r="D12" s="53" t="str">
        <f>[18]Estimate!H39</f>
        <v>M²</v>
      </c>
      <c r="E12" s="60">
        <f>[18]Estimate!I39</f>
        <v>57.77</v>
      </c>
      <c r="F12" s="7">
        <f t="shared" si="0"/>
        <v>1565.57</v>
      </c>
    </row>
    <row r="13" spans="1:9" ht="51.95" customHeight="1">
      <c r="A13" s="48" t="str">
        <f>[18]Estimate!A40</f>
        <v>9         5.8.42</v>
      </c>
      <c r="B13" s="57" t="str">
        <f>[18]Estimate!B40</f>
        <v>Providing one coat of painting with ready mixed paint of approved shade and make over steel surface  including cleaning the surface thoroughly,scaffolding and taxes all complete as per building specification and direction of E/I</v>
      </c>
      <c r="C13" s="85">
        <f>[18]Estimate!G41</f>
        <v>27.1</v>
      </c>
      <c r="D13" s="53" t="str">
        <f>[18]Estimate!H41</f>
        <v>M²</v>
      </c>
      <c r="E13" s="60">
        <f>[18]Estimate!I41</f>
        <v>43.3</v>
      </c>
      <c r="F13" s="7">
        <f t="shared" si="0"/>
        <v>1173.43</v>
      </c>
    </row>
    <row r="14" spans="1:9" ht="38.25">
      <c r="A14" s="48" t="str">
        <f>[18]Estimate!A42</f>
        <v>10.           14.4          (R.C.D)</v>
      </c>
      <c r="B14" s="57" t="str">
        <f>[18]Estimate!B42</f>
        <v>Providing and laying Cement concrete wearing coat M-30 grade including reinforcement complete as per drawing and Technical Specifications</v>
      </c>
      <c r="C14" s="58">
        <f>[18]Estimate!G45</f>
        <v>2.8</v>
      </c>
      <c r="D14" s="53" t="str">
        <f>[18]Estimate!H45</f>
        <v>M³</v>
      </c>
      <c r="E14" s="60">
        <f>[18]Estimate!I45</f>
        <v>10876.5</v>
      </c>
      <c r="F14" s="7">
        <f t="shared" si="0"/>
        <v>30454.2</v>
      </c>
    </row>
    <row r="15" spans="1:9">
      <c r="A15" s="48">
        <f>[18]Estimate!A48</f>
        <v>11</v>
      </c>
      <c r="B15" s="61" t="str">
        <f>[18]Estimate!B48</f>
        <v>CARRIAGE OF MATERIALS</v>
      </c>
      <c r="C15" s="62"/>
      <c r="D15" s="62"/>
      <c r="E15" s="63"/>
      <c r="F15" s="7"/>
    </row>
    <row r="16" spans="1:9">
      <c r="A16" s="49" t="str">
        <f>[18]Estimate!A49</f>
        <v>(i)</v>
      </c>
      <c r="B16" s="64" t="str">
        <f>[18]Estimate!B49</f>
        <v>SAND-LEAD-49KM</v>
      </c>
      <c r="C16" s="62">
        <f>[18]Estimate!G49</f>
        <v>1.28</v>
      </c>
      <c r="D16" s="62" t="s">
        <v>15</v>
      </c>
      <c r="E16" s="54">
        <f>[18]Estimate!I49</f>
        <v>848.82</v>
      </c>
      <c r="F16" s="7">
        <f>ROUND(C16*E16,2)</f>
        <v>1086.49</v>
      </c>
    </row>
    <row r="17" spans="1:6">
      <c r="A17" s="49" t="str">
        <f>[18]Estimate!A50</f>
        <v>(ii)</v>
      </c>
      <c r="B17" s="64" t="str">
        <f>[18]Estimate!B50</f>
        <v>LOCAL SAND-LEAD-14KM</v>
      </c>
      <c r="C17" s="62">
        <f>[18]Estimate!G50</f>
        <v>0.06</v>
      </c>
      <c r="D17" s="62" t="s">
        <v>15</v>
      </c>
      <c r="E17" s="54">
        <f>[18]Estimate!I50</f>
        <v>328.02</v>
      </c>
      <c r="F17" s="7">
        <f>ROUND(C17*E17,2)</f>
        <v>19.68</v>
      </c>
    </row>
    <row r="18" spans="1:6" ht="14.45" customHeight="1">
      <c r="A18" s="49" t="str">
        <f>[18]Estimate!A51</f>
        <v>(iii)</v>
      </c>
      <c r="B18" s="65" t="str">
        <f>[18]Estimate!B51</f>
        <v>STONE CHIPS-LEAD-22KM</v>
      </c>
      <c r="C18" s="62">
        <f>[18]Estimate!G51</f>
        <v>2.56</v>
      </c>
      <c r="D18" s="62" t="s">
        <v>15</v>
      </c>
      <c r="E18" s="54">
        <f>[18]Estimate!I51</f>
        <v>447.06</v>
      </c>
      <c r="F18" s="7">
        <f>ROUND(C18*E18,2)</f>
        <v>1144.47</v>
      </c>
    </row>
    <row r="19" spans="1:6">
      <c r="A19" s="49" t="str">
        <f>[18]Estimate!A52</f>
        <v>(iv)</v>
      </c>
      <c r="B19" s="65" t="str">
        <f>[18]Estimate!B52</f>
        <v>BOULDER-LEAD-36KM</v>
      </c>
      <c r="C19" s="86">
        <f>[18]Estimate!G52</f>
        <v>0.1</v>
      </c>
      <c r="D19" s="62" t="s">
        <v>15</v>
      </c>
      <c r="E19" s="54">
        <f>[18]Estimate!I52</f>
        <v>679.66</v>
      </c>
      <c r="F19" s="7">
        <f>ROUND(C19*E19,2)</f>
        <v>67.97</v>
      </c>
    </row>
    <row r="20" spans="1:6" ht="14.45" customHeight="1">
      <c r="A20" s="49" t="str">
        <f>[18]Estimate!A53</f>
        <v>(v)</v>
      </c>
      <c r="B20" s="87" t="str">
        <f>[18]Estimate!B53</f>
        <v>EARTH-LEAD-01KM</v>
      </c>
      <c r="C20" s="62">
        <f>[18]Estimate!G53</f>
        <v>0.6</v>
      </c>
      <c r="D20" s="62" t="s">
        <v>15</v>
      </c>
      <c r="E20" s="54">
        <f>[18]Estimate!I53</f>
        <v>117.54</v>
      </c>
      <c r="F20" s="7">
        <f>ROUND(C20*E20,2)</f>
        <v>70.52</v>
      </c>
    </row>
    <row r="21" spans="1:6">
      <c r="A21" s="66"/>
      <c r="B21" s="67"/>
      <c r="C21" s="466" t="s">
        <v>24</v>
      </c>
      <c r="D21" s="466"/>
      <c r="E21" s="466"/>
      <c r="F21" s="7">
        <f>SUM(F5:F20)</f>
        <v>87492.62</v>
      </c>
    </row>
    <row r="22" spans="1:6">
      <c r="A22" s="66"/>
      <c r="B22" s="67"/>
      <c r="C22" s="459" t="s">
        <v>25</v>
      </c>
      <c r="D22" s="459"/>
      <c r="E22" s="459"/>
      <c r="F22" s="7">
        <f>F21*18%</f>
        <v>15748.671599999998</v>
      </c>
    </row>
    <row r="23" spans="1:6" ht="14.45" customHeight="1">
      <c r="A23" s="66"/>
      <c r="B23" s="67"/>
      <c r="C23" s="466" t="s">
        <v>24</v>
      </c>
      <c r="D23" s="466"/>
      <c r="E23" s="466"/>
      <c r="F23" s="7">
        <f>SUM(F21+F22)</f>
        <v>103241.2916</v>
      </c>
    </row>
    <row r="24" spans="1:6">
      <c r="A24" s="66"/>
      <c r="B24" s="67"/>
      <c r="C24" s="458" t="s">
        <v>71</v>
      </c>
      <c r="D24" s="458"/>
      <c r="E24" s="458"/>
      <c r="F24" s="7">
        <f>F23*1%</f>
        <v>1032.412916</v>
      </c>
    </row>
    <row r="25" spans="1:6" ht="15.6" customHeight="1">
      <c r="A25" s="66"/>
      <c r="B25" s="67"/>
      <c r="C25" s="459" t="s">
        <v>24</v>
      </c>
      <c r="D25" s="459"/>
      <c r="E25" s="459"/>
      <c r="F25" s="7">
        <f>SUM(F23:F24)</f>
        <v>104273.704516</v>
      </c>
    </row>
    <row r="26" spans="1:6">
      <c r="A26" s="66"/>
      <c r="B26" s="67"/>
      <c r="C26" s="459" t="s">
        <v>27</v>
      </c>
      <c r="D26" s="459"/>
      <c r="E26" s="459"/>
      <c r="F26" s="7">
        <v>104274</v>
      </c>
    </row>
  </sheetData>
  <mergeCells count="9">
    <mergeCell ref="C24:E24"/>
    <mergeCell ref="C25:E25"/>
    <mergeCell ref="C26:E26"/>
    <mergeCell ref="A1:F1"/>
    <mergeCell ref="A2:F2"/>
    <mergeCell ref="A3:F3"/>
    <mergeCell ref="C21:E21"/>
    <mergeCell ref="C22:E22"/>
    <mergeCell ref="C23:E23"/>
  </mergeCells>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F32"/>
  <sheetViews>
    <sheetView workbookViewId="0">
      <selection activeCell="A3" sqref="A3:F3"/>
    </sheetView>
  </sheetViews>
  <sheetFormatPr defaultRowHeight="15"/>
  <cols>
    <col min="2" max="2" width="51.42578125" customWidth="1"/>
    <col min="5" max="5" width="9" bestFit="1" customWidth="1"/>
    <col min="6" max="6" width="16.28515625" style="20" bestFit="1" customWidth="1"/>
  </cols>
  <sheetData>
    <row r="1" spans="1:6" ht="25.5">
      <c r="A1" s="469" t="s">
        <v>0</v>
      </c>
      <c r="B1" s="470"/>
      <c r="C1" s="470"/>
      <c r="D1" s="470"/>
      <c r="E1" s="470"/>
      <c r="F1" s="471"/>
    </row>
    <row r="2" spans="1:6" ht="18" customHeight="1">
      <c r="A2" s="472" t="s">
        <v>1</v>
      </c>
      <c r="B2" s="473"/>
      <c r="C2" s="473"/>
      <c r="D2" s="473"/>
      <c r="E2" s="473"/>
      <c r="F2" s="474"/>
    </row>
    <row r="3" spans="1:6" ht="32.450000000000003" customHeight="1">
      <c r="A3" s="475" t="str">
        <f>[19]ESTIMATE!A2</f>
        <v>Name of Work :-CONSTRUCTION OF RCC DRAIN KADRU, SARNA TOLI, MUNNAZIR HOUSE TO VICKY HOUSE UNDER WARD NO-24</v>
      </c>
      <c r="B3" s="476"/>
      <c r="C3" s="476"/>
      <c r="D3" s="476"/>
      <c r="E3" s="476"/>
      <c r="F3" s="477"/>
    </row>
    <row r="4" spans="1:6" ht="31.5">
      <c r="A4" s="89" t="s">
        <v>2</v>
      </c>
      <c r="B4" s="90" t="s">
        <v>3</v>
      </c>
      <c r="C4" s="90" t="s">
        <v>4</v>
      </c>
      <c r="D4" s="90" t="s">
        <v>5</v>
      </c>
      <c r="E4" s="89" t="s">
        <v>6</v>
      </c>
      <c r="F4" s="91" t="s">
        <v>7</v>
      </c>
    </row>
    <row r="5" spans="1:6" ht="36.75" customHeight="1">
      <c r="A5" s="89">
        <f>[19]ESTIMATE!A4</f>
        <v>1</v>
      </c>
      <c r="B5" s="92" t="str">
        <f>[19]ESTIMATE!B4</f>
        <v>Labour for site clearence before and after the work etc.</v>
      </c>
      <c r="C5" s="93">
        <f>[19]ESTIMATE!G4</f>
        <v>3</v>
      </c>
      <c r="D5" s="94" t="s">
        <v>15</v>
      </c>
      <c r="E5" s="93">
        <f>[19]ESTIMATE!I4</f>
        <v>326.85000000000002</v>
      </c>
      <c r="F5" s="95">
        <f t="shared" ref="F5:F14" si="0">ROUND(C5*E5,2)</f>
        <v>980.55</v>
      </c>
    </row>
    <row r="6" spans="1:6" ht="63" customHeight="1">
      <c r="A6" s="89" t="str">
        <f>[19]ESTIMATE!A5</f>
        <v xml:space="preserve">    2         5.10.2</v>
      </c>
      <c r="B6" s="96" t="str">
        <f>[19]ESTIMATE!B5</f>
        <v>Dismantling plain cement or lime concrete work including ………do…….complete as per specification and  direction of E/I.</v>
      </c>
      <c r="C6" s="93">
        <f>[19]ESTIMATE!G7</f>
        <v>3.4</v>
      </c>
      <c r="D6" s="94" t="s">
        <v>15</v>
      </c>
      <c r="E6" s="93">
        <f>[19]ESTIMATE!I7</f>
        <v>955.89</v>
      </c>
      <c r="F6" s="95">
        <f t="shared" si="0"/>
        <v>3250.03</v>
      </c>
    </row>
    <row r="7" spans="1:6" ht="126">
      <c r="A7" s="89" t="str">
        <f>[19]ESTIMATE!A8</f>
        <v>3       5.1.1.</v>
      </c>
      <c r="B7" s="96" t="s">
        <v>9</v>
      </c>
      <c r="C7" s="93">
        <f>[19]ESTIMATE!G12</f>
        <v>20.04</v>
      </c>
      <c r="D7" s="94" t="s">
        <v>15</v>
      </c>
      <c r="E7" s="93">
        <f>[19]ESTIMATE!I12</f>
        <v>151.82</v>
      </c>
      <c r="F7" s="95">
        <f t="shared" si="0"/>
        <v>3042.47</v>
      </c>
    </row>
    <row r="8" spans="1:6" ht="110.25">
      <c r="A8" s="89" t="str">
        <f>[19]ESTIMATE!A13</f>
        <v>4.           M-004</v>
      </c>
      <c r="B8" s="96" t="s">
        <v>46</v>
      </c>
      <c r="C8" s="93">
        <f>[19]ESTIMATE!G16</f>
        <v>2.19</v>
      </c>
      <c r="D8" s="94" t="s">
        <v>15</v>
      </c>
      <c r="E8" s="93">
        <f>[19]ESTIMATE!I16</f>
        <v>481.67</v>
      </c>
      <c r="F8" s="95">
        <f t="shared" si="0"/>
        <v>1054.8599999999999</v>
      </c>
    </row>
    <row r="9" spans="1:6" ht="78.75">
      <c r="A9" s="89" t="str">
        <f>[19]ESTIMATE!A17</f>
        <v>5.       5.6.8 (C.I.W.)</v>
      </c>
      <c r="B9" s="96" t="s">
        <v>48</v>
      </c>
      <c r="C9" s="93">
        <f>[19]ESTIMATE!G20</f>
        <v>3.69</v>
      </c>
      <c r="D9" s="94" t="s">
        <v>15</v>
      </c>
      <c r="E9" s="93">
        <f>[19]ESTIMATE!I20</f>
        <v>1756.4</v>
      </c>
      <c r="F9" s="95">
        <f t="shared" si="0"/>
        <v>6481.12</v>
      </c>
    </row>
    <row r="10" spans="1:6" ht="65.099999999999994" customHeight="1">
      <c r="A10" s="89" t="str">
        <f>[19]ESTIMATE!A21</f>
        <v>6.                                    5.3.10</v>
      </c>
      <c r="B10" s="97" t="str">
        <f>[19]ESTIMATE!B21</f>
        <v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v>
      </c>
      <c r="C10" s="93">
        <f>[19]ESTIMATE!G25</f>
        <v>10.97</v>
      </c>
      <c r="D10" s="94" t="s">
        <v>15</v>
      </c>
      <c r="E10" s="93">
        <f>[19]ESTIMATE!I25</f>
        <v>6082.45</v>
      </c>
      <c r="F10" s="95">
        <f t="shared" si="0"/>
        <v>66724.479999999996</v>
      </c>
    </row>
    <row r="11" spans="1:6" ht="65.099999999999994" customHeight="1">
      <c r="A11" s="89" t="str">
        <f>[19]ESTIMATE!A26</f>
        <v>7                  5.3.11</v>
      </c>
      <c r="B11" s="97" t="str">
        <f>[19]ESTIMATE!B26</f>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
      <c r="C11" s="93">
        <f>[19]ESTIMATE!G29</f>
        <v>4.3899999999999997</v>
      </c>
      <c r="D11" s="94" t="s">
        <v>15</v>
      </c>
      <c r="E11" s="93">
        <f>[19]ESTIMATE!I29</f>
        <v>6308.87</v>
      </c>
      <c r="F11" s="95">
        <f t="shared" si="0"/>
        <v>27695.94</v>
      </c>
    </row>
    <row r="12" spans="1:6" ht="65.099999999999994" customHeight="1">
      <c r="A12" s="89">
        <f>[19]ESTIMATE!A30</f>
        <v>8</v>
      </c>
      <c r="B12" s="97" t="str">
        <f>[19]ESTIMATE!B30</f>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
      <c r="C12" s="93">
        <f>[19]ESTIMATE!G34</f>
        <v>0.56999999999999995</v>
      </c>
      <c r="D12" s="94" t="str">
        <f>[19]ESTIMATE!H34</f>
        <v>MT</v>
      </c>
      <c r="E12" s="93">
        <f>[19]ESTIMATE!I34</f>
        <v>83314.02</v>
      </c>
      <c r="F12" s="95">
        <f t="shared" si="0"/>
        <v>47488.99</v>
      </c>
    </row>
    <row r="13" spans="1:6" ht="15.75">
      <c r="A13" s="89"/>
      <c r="B13" s="97"/>
      <c r="C13" s="93">
        <f>[19]ESTIMATE!G38</f>
        <v>0.69</v>
      </c>
      <c r="D13" s="94" t="str">
        <f>[19]ESTIMATE!H38</f>
        <v>MT</v>
      </c>
      <c r="E13" s="93">
        <f>[19]ESTIMATE!I38</f>
        <v>82096.539999999994</v>
      </c>
      <c r="F13" s="95">
        <f t="shared" si="0"/>
        <v>56646.61</v>
      </c>
    </row>
    <row r="14" spans="1:6" ht="63">
      <c r="A14" s="89" t="str">
        <f>[19]ESTIMATE!A39</f>
        <v>9                 5.3.17.1</v>
      </c>
      <c r="B14" s="96" t="str">
        <f>[19]ESTIMATE!B39</f>
        <v>Centering and shuttering including strutting, propping etc. and removal of from for Foundations,footings, bases of columns, etc. for mass concrete.</v>
      </c>
      <c r="C14" s="93">
        <f>[19]ESTIMATE!G43</f>
        <v>100.84</v>
      </c>
      <c r="D14" s="98" t="s">
        <v>11</v>
      </c>
      <c r="E14" s="89">
        <f>[19]ESTIMATE!I43</f>
        <v>194.5</v>
      </c>
      <c r="F14" s="91">
        <f t="shared" si="0"/>
        <v>19613.38</v>
      </c>
    </row>
    <row r="15" spans="1:6" ht="28.5" customHeight="1">
      <c r="A15" s="89">
        <f>[19]ESTIMATE!A44</f>
        <v>10</v>
      </c>
      <c r="B15" s="99" t="s">
        <v>12</v>
      </c>
      <c r="C15" s="94"/>
      <c r="D15" s="100"/>
      <c r="E15" s="101"/>
      <c r="F15" s="95"/>
    </row>
    <row r="16" spans="1:6" ht="28.5" customHeight="1">
      <c r="A16" s="102" t="s">
        <v>13</v>
      </c>
      <c r="B16" s="103" t="s">
        <v>76</v>
      </c>
      <c r="C16" s="94">
        <f>PRODUCT('[19]MATERIAL '!F7)</f>
        <v>6.6</v>
      </c>
      <c r="D16" s="100" t="s">
        <v>15</v>
      </c>
      <c r="E16" s="1">
        <f>[19]ESTIMATE!I45</f>
        <v>848.82</v>
      </c>
      <c r="F16" s="95">
        <f t="shared" ref="F16:F20" si="1">ROUND(C16*E16,2)</f>
        <v>5602.21</v>
      </c>
    </row>
    <row r="17" spans="1:6" ht="28.5" customHeight="1">
      <c r="A17" s="102" t="s">
        <v>16</v>
      </c>
      <c r="B17" s="103" t="s">
        <v>77</v>
      </c>
      <c r="C17" s="94">
        <f>PRODUCT('[19]MATERIAL '!G7)</f>
        <v>2.19</v>
      </c>
      <c r="D17" s="100" t="s">
        <v>15</v>
      </c>
      <c r="E17" s="34">
        <f>[19]ESTIMATE!I46</f>
        <v>447.06</v>
      </c>
      <c r="F17" s="95">
        <f t="shared" si="1"/>
        <v>979.06</v>
      </c>
    </row>
    <row r="18" spans="1:6" ht="28.5" customHeight="1">
      <c r="A18" s="102" t="s">
        <v>18</v>
      </c>
      <c r="B18" s="104" t="s">
        <v>78</v>
      </c>
      <c r="C18" s="94">
        <f>PRODUCT('[19]MATERIAL '!H7)</f>
        <v>13.21</v>
      </c>
      <c r="D18" s="100" t="s">
        <v>15</v>
      </c>
      <c r="E18" s="34">
        <f>[19]ESTIMATE!I47</f>
        <v>447.06</v>
      </c>
      <c r="F18" s="95">
        <f t="shared" si="1"/>
        <v>5905.66</v>
      </c>
    </row>
    <row r="19" spans="1:6" ht="28.5" customHeight="1">
      <c r="A19" s="102" t="s">
        <v>20</v>
      </c>
      <c r="B19" s="104" t="s">
        <v>79</v>
      </c>
      <c r="C19" s="94">
        <f>PRODUCT('[19]MATERIAL '!I7)</f>
        <v>3.69</v>
      </c>
      <c r="D19" s="100" t="s">
        <v>15</v>
      </c>
      <c r="E19" s="1">
        <f>[19]ESTIMATE!I48</f>
        <v>679.66</v>
      </c>
      <c r="F19" s="95">
        <f t="shared" si="1"/>
        <v>2507.9499999999998</v>
      </c>
    </row>
    <row r="20" spans="1:6" ht="28.5" customHeight="1">
      <c r="A20" s="102" t="s">
        <v>22</v>
      </c>
      <c r="B20" s="96" t="s">
        <v>80</v>
      </c>
      <c r="C20" s="94">
        <f>PRODUCT('[19]MATERIAL '!J7)</f>
        <v>20.04</v>
      </c>
      <c r="D20" s="100" t="s">
        <v>15</v>
      </c>
      <c r="E20" s="34">
        <f>[19]ESTIMATE!I49</f>
        <v>117.54</v>
      </c>
      <c r="F20" s="95">
        <f t="shared" si="1"/>
        <v>2355.5</v>
      </c>
    </row>
    <row r="21" spans="1:6" ht="15.75">
      <c r="A21" s="105"/>
      <c r="B21" s="105"/>
      <c r="C21" s="467" t="s">
        <v>24</v>
      </c>
      <c r="D21" s="467"/>
      <c r="E21" s="468"/>
      <c r="F21" s="95">
        <f>SUM(F5:F20)</f>
        <v>250328.81</v>
      </c>
    </row>
    <row r="22" spans="1:6" ht="15.75">
      <c r="A22" s="105"/>
      <c r="B22" s="105"/>
      <c r="C22" s="478" t="s">
        <v>25</v>
      </c>
      <c r="D22" s="467"/>
      <c r="E22" s="468"/>
      <c r="F22" s="95">
        <f>F21*18%</f>
        <v>45059.185799999999</v>
      </c>
    </row>
    <row r="23" spans="1:6" ht="15.75">
      <c r="A23" s="105"/>
      <c r="B23" s="105"/>
      <c r="C23" s="478" t="s">
        <v>24</v>
      </c>
      <c r="D23" s="467"/>
      <c r="E23" s="468"/>
      <c r="F23" s="95">
        <f>SUM(F21:F22)</f>
        <v>295387.99579999998</v>
      </c>
    </row>
    <row r="24" spans="1:6" ht="15.75">
      <c r="A24" s="105"/>
      <c r="B24" s="105"/>
      <c r="C24" s="467" t="s">
        <v>26</v>
      </c>
      <c r="D24" s="467"/>
      <c r="E24" s="468"/>
      <c r="F24" s="95">
        <f>ROUND(F23*0.01,2)</f>
        <v>2953.88</v>
      </c>
    </row>
    <row r="25" spans="1:6" ht="15.75">
      <c r="A25" s="105"/>
      <c r="B25" s="105"/>
      <c r="C25" s="467" t="s">
        <v>24</v>
      </c>
      <c r="D25" s="467"/>
      <c r="E25" s="468"/>
      <c r="F25" s="95">
        <f>SUM(F23:F24)</f>
        <v>298341.87579999998</v>
      </c>
    </row>
    <row r="26" spans="1:6" ht="18.75">
      <c r="A26" s="105"/>
      <c r="B26" s="105"/>
      <c r="C26" s="467" t="s">
        <v>27</v>
      </c>
      <c r="D26" s="467"/>
      <c r="E26" s="468"/>
      <c r="F26" s="106">
        <v>298342</v>
      </c>
    </row>
    <row r="27" spans="1:6" ht="18.75">
      <c r="A27" s="107"/>
      <c r="B27" s="107"/>
      <c r="C27" s="108"/>
      <c r="D27" s="108"/>
      <c r="E27" s="108"/>
      <c r="F27" s="109"/>
    </row>
    <row r="28" spans="1:6" ht="18.75">
      <c r="A28" s="107"/>
      <c r="B28" s="107"/>
      <c r="C28" s="108"/>
      <c r="D28" s="108"/>
      <c r="E28" s="108"/>
      <c r="F28" s="109"/>
    </row>
    <row r="29" spans="1:6">
      <c r="A29" s="19"/>
    </row>
    <row r="30" spans="1:6">
      <c r="A30" s="19"/>
    </row>
    <row r="31" spans="1:6" ht="18.75">
      <c r="A31" s="19"/>
      <c r="B31" s="21" t="s">
        <v>28</v>
      </c>
      <c r="C31" s="22" t="s">
        <v>29</v>
      </c>
      <c r="F31" s="18" t="s">
        <v>30</v>
      </c>
    </row>
    <row r="32" spans="1:6" ht="18.75">
      <c r="A32" s="19"/>
      <c r="B32" s="21" t="s">
        <v>31</v>
      </c>
      <c r="C32" s="22" t="s">
        <v>32</v>
      </c>
      <c r="F32" s="18" t="s">
        <v>31</v>
      </c>
    </row>
  </sheetData>
  <mergeCells count="9">
    <mergeCell ref="C24:E24"/>
    <mergeCell ref="C25:E25"/>
    <mergeCell ref="C26:E26"/>
    <mergeCell ref="A1:F1"/>
    <mergeCell ref="A2:F2"/>
    <mergeCell ref="A3:F3"/>
    <mergeCell ref="C21:E21"/>
    <mergeCell ref="C22:E22"/>
    <mergeCell ref="C23:E23"/>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tabColor theme="0"/>
  </sheetPr>
  <dimension ref="A1:K26"/>
  <sheetViews>
    <sheetView topLeftCell="A13" workbookViewId="0">
      <selection activeCell="B3" sqref="B3:F3"/>
    </sheetView>
  </sheetViews>
  <sheetFormatPr defaultRowHeight="15"/>
  <cols>
    <col min="1" max="1" width="6.140625" style="329" customWidth="1"/>
    <col min="2" max="2" width="51.28515625" style="329" customWidth="1"/>
    <col min="3" max="3" width="12.7109375" style="329" bestFit="1" customWidth="1"/>
    <col min="4" max="4" width="5.28515625" style="329" customWidth="1"/>
    <col min="5" max="5" width="12.5703125" style="329" bestFit="1" customWidth="1"/>
    <col min="6" max="6" width="12.42578125" style="329" customWidth="1"/>
    <col min="7" max="16384" width="9.140625" style="329"/>
  </cols>
  <sheetData>
    <row r="1" spans="1:11" ht="22.5">
      <c r="A1" s="346"/>
      <c r="B1" s="482" t="s">
        <v>0</v>
      </c>
      <c r="C1" s="482"/>
      <c r="D1" s="482"/>
      <c r="E1" s="482"/>
      <c r="F1" s="482"/>
    </row>
    <row r="2" spans="1:11" ht="22.5">
      <c r="A2" s="346"/>
      <c r="B2" s="483" t="s">
        <v>75</v>
      </c>
      <c r="C2" s="483"/>
      <c r="D2" s="483"/>
      <c r="E2" s="483"/>
      <c r="F2" s="483"/>
    </row>
    <row r="3" spans="1:11" ht="30.75" customHeight="1">
      <c r="A3" s="346"/>
      <c r="B3" s="484" t="s">
        <v>391</v>
      </c>
      <c r="C3" s="484"/>
      <c r="D3" s="484"/>
      <c r="E3" s="484"/>
      <c r="F3" s="484"/>
    </row>
    <row r="4" spans="1:11" ht="32.25" customHeight="1">
      <c r="A4" s="162" t="s">
        <v>35</v>
      </c>
      <c r="B4" s="162" t="s">
        <v>392</v>
      </c>
      <c r="C4" s="162" t="s">
        <v>37</v>
      </c>
      <c r="D4" s="162" t="s">
        <v>5</v>
      </c>
      <c r="E4" s="162" t="s">
        <v>38</v>
      </c>
      <c r="F4" s="162" t="s">
        <v>39</v>
      </c>
      <c r="K4" s="329">
        <f>150*3.28</f>
        <v>491.99999999999994</v>
      </c>
    </row>
    <row r="5" spans="1:11" ht="25.5">
      <c r="A5" s="333" t="s">
        <v>393</v>
      </c>
      <c r="B5" s="333" t="s">
        <v>394</v>
      </c>
      <c r="C5" s="347">
        <f>[20]Sheet1!G7</f>
        <v>2.3600490890210515</v>
      </c>
      <c r="D5" s="162" t="s">
        <v>158</v>
      </c>
      <c r="E5" s="348">
        <v>1993.04</v>
      </c>
      <c r="F5" s="348">
        <f>ROUND(C5*E5,2)</f>
        <v>4703.67</v>
      </c>
    </row>
    <row r="6" spans="1:11" ht="100.5" customHeight="1">
      <c r="A6" s="277" t="s">
        <v>395</v>
      </c>
      <c r="B6" s="349" t="s">
        <v>396</v>
      </c>
      <c r="C6" s="348">
        <f>[20]Sheet1!G11</f>
        <v>134.52276975361087</v>
      </c>
      <c r="D6" s="136" t="s">
        <v>94</v>
      </c>
      <c r="E6" s="136">
        <v>167.33</v>
      </c>
      <c r="F6" s="348">
        <f t="shared" ref="F6:F21" si="0">ROUND(C6*E6,2)</f>
        <v>22509.7</v>
      </c>
    </row>
    <row r="7" spans="1:11" ht="89.25">
      <c r="A7" s="333" t="s">
        <v>375</v>
      </c>
      <c r="B7" s="334" t="s">
        <v>397</v>
      </c>
      <c r="C7" s="162">
        <f>[20]Sheet1!G15</f>
        <v>10.629999999999999</v>
      </c>
      <c r="D7" s="162" t="s">
        <v>94</v>
      </c>
      <c r="E7" s="162">
        <v>347.85</v>
      </c>
      <c r="F7" s="348">
        <f t="shared" si="0"/>
        <v>3697.65</v>
      </c>
    </row>
    <row r="8" spans="1:11" ht="63.75">
      <c r="A8" s="333" t="s">
        <v>398</v>
      </c>
      <c r="B8" s="285" t="s">
        <v>329</v>
      </c>
      <c r="C8" s="162">
        <f>[20]Sheet1!G19</f>
        <v>17.71</v>
      </c>
      <c r="D8" s="162" t="s">
        <v>94</v>
      </c>
      <c r="E8" s="347">
        <v>1756.4</v>
      </c>
      <c r="F8" s="348">
        <f t="shared" si="0"/>
        <v>31105.84</v>
      </c>
    </row>
    <row r="9" spans="1:11" ht="38.25">
      <c r="A9" s="333" t="s">
        <v>399</v>
      </c>
      <c r="B9" s="350" t="s">
        <v>400</v>
      </c>
      <c r="C9" s="162">
        <f>[20]Sheet1!G24</f>
        <v>14.17</v>
      </c>
      <c r="D9" s="162" t="s">
        <v>94</v>
      </c>
      <c r="E9" s="347">
        <v>4598.2299999999996</v>
      </c>
      <c r="F9" s="348">
        <f t="shared" si="0"/>
        <v>65156.92</v>
      </c>
    </row>
    <row r="10" spans="1:11" ht="51">
      <c r="A10" s="351" t="s">
        <v>401</v>
      </c>
      <c r="B10" s="350" t="s">
        <v>402</v>
      </c>
      <c r="C10" s="352">
        <f>[20]Sheet1!G28</f>
        <v>31.860662701784197</v>
      </c>
      <c r="D10" s="162" t="s">
        <v>94</v>
      </c>
      <c r="E10" s="353">
        <v>2987.47</v>
      </c>
      <c r="F10" s="348">
        <f t="shared" si="0"/>
        <v>95182.77</v>
      </c>
    </row>
    <row r="11" spans="1:11" ht="63.75">
      <c r="A11" s="354" t="s">
        <v>403</v>
      </c>
      <c r="B11" s="355" t="s">
        <v>404</v>
      </c>
      <c r="C11" s="356">
        <f>[20]Sheet1!G32</f>
        <v>271.06567534076817</v>
      </c>
      <c r="D11" s="162" t="s">
        <v>91</v>
      </c>
      <c r="E11" s="347">
        <v>313.3</v>
      </c>
      <c r="F11" s="348">
        <f t="shared" si="0"/>
        <v>84924.88</v>
      </c>
    </row>
    <row r="12" spans="1:11" ht="102">
      <c r="A12" s="281" t="s">
        <v>405</v>
      </c>
      <c r="B12" s="355" t="s">
        <v>406</v>
      </c>
      <c r="C12" s="347">
        <v>14.2</v>
      </c>
      <c r="D12" s="162" t="s">
        <v>94</v>
      </c>
      <c r="E12" s="23">
        <v>6308.87</v>
      </c>
      <c r="F12" s="348">
        <f t="shared" si="0"/>
        <v>89585.95</v>
      </c>
    </row>
    <row r="13" spans="1:11" ht="63.75">
      <c r="A13" s="281" t="s">
        <v>407</v>
      </c>
      <c r="B13" s="355" t="s">
        <v>408</v>
      </c>
      <c r="C13" s="347">
        <f>[20]Sheet1!G40</f>
        <v>1.25</v>
      </c>
      <c r="D13" s="162" t="s">
        <v>337</v>
      </c>
      <c r="E13" s="162">
        <v>82096.539999999994</v>
      </c>
      <c r="F13" s="348">
        <f t="shared" si="0"/>
        <v>102620.68</v>
      </c>
    </row>
    <row r="14" spans="1:11" ht="38.25">
      <c r="A14" s="333" t="s">
        <v>409</v>
      </c>
      <c r="B14" s="164" t="s">
        <v>410</v>
      </c>
      <c r="C14" s="166">
        <f>[20]Sheet1!G45</f>
        <v>100.69000000000001</v>
      </c>
      <c r="D14" s="357" t="s">
        <v>172</v>
      </c>
      <c r="E14" s="166">
        <v>194.5</v>
      </c>
      <c r="F14" s="348">
        <f t="shared" si="0"/>
        <v>19584.21</v>
      </c>
    </row>
    <row r="15" spans="1:11">
      <c r="A15" s="281">
        <v>11</v>
      </c>
      <c r="B15" s="282" t="s">
        <v>144</v>
      </c>
      <c r="C15" s="162"/>
      <c r="D15" s="162"/>
      <c r="E15" s="162"/>
      <c r="F15" s="348"/>
    </row>
    <row r="16" spans="1:11" ht="15.75">
      <c r="A16" s="338" t="s">
        <v>13</v>
      </c>
      <c r="B16" s="285" t="s">
        <v>382</v>
      </c>
      <c r="C16" s="162">
        <f>[20]Sheet2!F11</f>
        <v>33.31</v>
      </c>
      <c r="D16" s="353" t="s">
        <v>411</v>
      </c>
      <c r="E16" s="29">
        <v>819.06</v>
      </c>
      <c r="F16" s="348">
        <f t="shared" si="0"/>
        <v>27282.89</v>
      </c>
    </row>
    <row r="17" spans="1:6" ht="15.75">
      <c r="A17" s="281" t="s">
        <v>16</v>
      </c>
      <c r="B17" s="285" t="s">
        <v>412</v>
      </c>
      <c r="C17" s="162">
        <f>[20]Sheet2!E11</f>
        <v>10.629999999999999</v>
      </c>
      <c r="D17" s="353" t="s">
        <v>411</v>
      </c>
      <c r="E17" s="134">
        <v>417.3</v>
      </c>
      <c r="F17" s="348">
        <f t="shared" si="0"/>
        <v>4435.8999999999996</v>
      </c>
    </row>
    <row r="18" spans="1:6" ht="15.75">
      <c r="A18" s="281" t="s">
        <v>18</v>
      </c>
      <c r="B18" s="285" t="s">
        <v>413</v>
      </c>
      <c r="C18" s="358">
        <v>49.6</v>
      </c>
      <c r="D18" s="353" t="s">
        <v>411</v>
      </c>
      <c r="E18" s="134">
        <v>648.59</v>
      </c>
      <c r="F18" s="348">
        <f t="shared" si="0"/>
        <v>32170.06</v>
      </c>
    </row>
    <row r="19" spans="1:6" ht="15.75">
      <c r="A19" s="281" t="s">
        <v>20</v>
      </c>
      <c r="B19" s="285" t="s">
        <v>386</v>
      </c>
      <c r="C19" s="162">
        <f>[20]Sheet2!G11</f>
        <v>24.939999999999998</v>
      </c>
      <c r="D19" s="353" t="s">
        <v>411</v>
      </c>
      <c r="E19" s="134">
        <v>417.3</v>
      </c>
      <c r="F19" s="348">
        <f t="shared" si="0"/>
        <v>10407.459999999999</v>
      </c>
    </row>
    <row r="20" spans="1:6" ht="15.75">
      <c r="A20" s="281" t="s">
        <v>22</v>
      </c>
      <c r="B20" s="285" t="s">
        <v>23</v>
      </c>
      <c r="C20" s="347">
        <f>[20]Sheet2!I11</f>
        <v>134.52276975361087</v>
      </c>
      <c r="D20" s="353" t="s">
        <v>411</v>
      </c>
      <c r="E20" s="29">
        <v>117.54</v>
      </c>
      <c r="F20" s="348">
        <f t="shared" si="0"/>
        <v>15811.81</v>
      </c>
    </row>
    <row r="21" spans="1:6">
      <c r="A21" s="281">
        <v>12</v>
      </c>
      <c r="B21" s="285" t="s">
        <v>414</v>
      </c>
      <c r="C21" s="347">
        <v>3</v>
      </c>
      <c r="D21" s="353" t="s">
        <v>415</v>
      </c>
      <c r="E21" s="134">
        <v>2000</v>
      </c>
      <c r="F21" s="348">
        <f t="shared" si="0"/>
        <v>6000</v>
      </c>
    </row>
    <row r="22" spans="1:6">
      <c r="A22" s="265"/>
      <c r="B22" s="265"/>
      <c r="C22" s="265"/>
      <c r="D22" s="265"/>
      <c r="E22" s="266" t="s">
        <v>24</v>
      </c>
      <c r="F22" s="147">
        <f>SUM(F5:F21)</f>
        <v>615180.39000000013</v>
      </c>
    </row>
    <row r="23" spans="1:6">
      <c r="A23" s="485" t="s">
        <v>416</v>
      </c>
      <c r="B23" s="486"/>
      <c r="C23" s="486"/>
      <c r="D23" s="486"/>
      <c r="E23" s="487"/>
      <c r="F23" s="147">
        <f>F22*18%</f>
        <v>110732.47020000003</v>
      </c>
    </row>
    <row r="24" spans="1:6">
      <c r="A24" s="479" t="s">
        <v>346</v>
      </c>
      <c r="B24" s="480"/>
      <c r="C24" s="480"/>
      <c r="D24" s="480"/>
      <c r="E24" s="481"/>
      <c r="F24" s="147">
        <f>SUM(F22:F23)</f>
        <v>725912.86020000011</v>
      </c>
    </row>
    <row r="25" spans="1:6">
      <c r="A25" s="485" t="s">
        <v>345</v>
      </c>
      <c r="B25" s="486"/>
      <c r="C25" s="486"/>
      <c r="D25" s="486"/>
      <c r="E25" s="487"/>
      <c r="F25" s="268">
        <f>F24*1%</f>
        <v>7259.1286020000016</v>
      </c>
    </row>
    <row r="26" spans="1:6">
      <c r="A26" s="479" t="s">
        <v>346</v>
      </c>
      <c r="B26" s="480"/>
      <c r="C26" s="480"/>
      <c r="D26" s="480"/>
      <c r="E26" s="481"/>
      <c r="F26" s="359">
        <f>SUM(F24:F25)</f>
        <v>733171.98880200007</v>
      </c>
    </row>
  </sheetData>
  <mergeCells count="7">
    <mergeCell ref="A26:E26"/>
    <mergeCell ref="B1:F1"/>
    <mergeCell ref="B2:F2"/>
    <mergeCell ref="B3:F3"/>
    <mergeCell ref="A23:E23"/>
    <mergeCell ref="A24:E24"/>
    <mergeCell ref="A25:E25"/>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F26"/>
  <sheetViews>
    <sheetView workbookViewId="0">
      <selection activeCell="A3" sqref="A3:F3"/>
    </sheetView>
  </sheetViews>
  <sheetFormatPr defaultRowHeight="15"/>
  <cols>
    <col min="2" max="2" width="49.5703125" customWidth="1"/>
    <col min="6" max="6" width="14.140625" style="81" customWidth="1"/>
  </cols>
  <sheetData>
    <row r="1" spans="1:6" ht="26.25">
      <c r="A1" s="455" t="s">
        <v>0</v>
      </c>
      <c r="B1" s="456"/>
      <c r="C1" s="456"/>
      <c r="D1" s="456"/>
      <c r="E1" s="456"/>
      <c r="F1" s="457"/>
    </row>
    <row r="2" spans="1:6" ht="18">
      <c r="A2" s="427" t="s">
        <v>1</v>
      </c>
      <c r="B2" s="428"/>
      <c r="C2" s="428"/>
      <c r="D2" s="428"/>
      <c r="E2" s="428"/>
      <c r="F2" s="429"/>
    </row>
    <row r="3" spans="1:6" ht="30.95" customHeight="1">
      <c r="A3" s="440" t="str">
        <f>[21]ESTIMATE!A2</f>
        <v>Name of Work :-LAYING OF PAVER BLOK AT JAI PRAKASH NAGAR, SARNA ASTHAL, MAHILA VIKAS SAMITEE UNDER WARD NO.29</v>
      </c>
      <c r="B3" s="441"/>
      <c r="C3" s="441"/>
      <c r="D3" s="441"/>
      <c r="E3" s="441"/>
      <c r="F3" s="442"/>
    </row>
    <row r="4" spans="1:6" ht="30">
      <c r="A4" s="1" t="s">
        <v>2</v>
      </c>
      <c r="B4" s="2" t="s">
        <v>3</v>
      </c>
      <c r="C4" s="2" t="s">
        <v>4</v>
      </c>
      <c r="D4" s="2" t="s">
        <v>5</v>
      </c>
      <c r="E4" s="1" t="s">
        <v>6</v>
      </c>
      <c r="F4" s="3" t="s">
        <v>7</v>
      </c>
    </row>
    <row r="5" spans="1:6" ht="33.6" customHeight="1">
      <c r="A5" s="1">
        <f>[21]ESTIMATE!A4</f>
        <v>1</v>
      </c>
      <c r="B5" s="77" t="str">
        <f>[21]ESTIMATE!B4</f>
        <v>Labour for clearning the work site before and after work etc.</v>
      </c>
      <c r="C5" s="5">
        <f>[21]ESTIMATE!G4</f>
        <v>8</v>
      </c>
      <c r="D5" s="6" t="s">
        <v>15</v>
      </c>
      <c r="E5" s="5">
        <f>[21]ESTIMATE!I4</f>
        <v>326.85000000000002</v>
      </c>
      <c r="F5" s="7">
        <f t="shared" ref="F5:F8" si="0">ROUND(C5*E5,2)</f>
        <v>2614.8000000000002</v>
      </c>
    </row>
    <row r="6" spans="1:6" ht="142.5">
      <c r="A6" s="1" t="str">
        <f>[21]ESTIMATE!A5</f>
        <v>2       5.1.1.+ 5.1.2</v>
      </c>
      <c r="B6" s="4" t="str">
        <f>[21]ESTIMATE!B5</f>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E/I+Extra for earthworkin hard soil as per specification and direction of E/I.(vide classification of soil item-B)                                                                                </v>
      </c>
      <c r="C6" s="5">
        <f>[21]ESTIMATE!G11</f>
        <v>98.74</v>
      </c>
      <c r="D6" s="6" t="s">
        <v>15</v>
      </c>
      <c r="E6" s="5">
        <f>[21]ESTIMATE!I11</f>
        <v>139.58000000000001</v>
      </c>
      <c r="F6" s="7">
        <f t="shared" si="0"/>
        <v>13782.13</v>
      </c>
    </row>
    <row r="7" spans="1:6" ht="213.75">
      <c r="A7" s="1" t="str">
        <f>[21]ESTIMATE!A12</f>
        <v>3.       16.91.2   DSR</v>
      </c>
      <c r="B7" s="4" t="str">
        <f>[22]ESTIMATE!B13</f>
        <v>Providing and laying factory made chamfered edge 80mm thick cement concrete paver block  of M-30 grade with approved colour design and pattern using in footpath ,parks ,lawns,drive ways or lighttraffic parking etc,of required strength thickness and size shape made by table vibratory method using PU mould ,laid in required coloure and pattern over 50mm thick compacted bed of sand ,compacting and proper embedding laying of interlocking  paver blocks into the sand bedding layer through vibratory compaction by using plate vibrator,filling the joints with sand cutting of paver blocks as per required size and pattern ,finishing and sweeing extra sand complete all as per direction of  E/I</v>
      </c>
      <c r="C7" s="5">
        <f>[21]ESTIMATE!G18</f>
        <v>486.06</v>
      </c>
      <c r="D7" s="6" t="s">
        <v>15</v>
      </c>
      <c r="E7" s="5">
        <f>[22]ESTIMATE!I16</f>
        <v>877.72</v>
      </c>
      <c r="F7" s="7">
        <f t="shared" si="0"/>
        <v>426624.58</v>
      </c>
    </row>
    <row r="8" spans="1:6" ht="71.25">
      <c r="A8" s="1" t="str">
        <f>[21]ESTIMATE!A19</f>
        <v>4           5.3.1.1</v>
      </c>
      <c r="B8" s="4" t="str">
        <f>[21]ESTIMATE!B19</f>
        <v xml:space="preserve">Providing and laying in position concrete of specified grade excluding the cost of centering and shuttering- All work upto plinth level :  1:1½:3 (1 cemet : 1½ coarse sand (zone-iii) : 3 graded stone aggregate 20mm nominal size )  </v>
      </c>
      <c r="C8" s="5">
        <f>[21]ESTIMATE!G25</f>
        <v>1.95</v>
      </c>
      <c r="D8" s="6" t="s">
        <v>15</v>
      </c>
      <c r="E8" s="5">
        <f>[22]ESTIMATE!I20</f>
        <v>4961.7299999999996</v>
      </c>
      <c r="F8" s="7">
        <f t="shared" si="0"/>
        <v>9675.3700000000008</v>
      </c>
    </row>
    <row r="9" spans="1:6">
      <c r="A9" s="9">
        <v>5</v>
      </c>
      <c r="B9" s="78" t="s">
        <v>12</v>
      </c>
      <c r="C9" s="6"/>
      <c r="D9" s="11"/>
      <c r="E9" s="12"/>
      <c r="F9" s="7"/>
    </row>
    <row r="10" spans="1:6">
      <c r="A10" s="9" t="s">
        <v>13</v>
      </c>
      <c r="B10" s="35" t="s">
        <v>72</v>
      </c>
      <c r="C10" s="6">
        <f>[21]ESTIMATE!G27</f>
        <v>0.84</v>
      </c>
      <c r="D10" s="11" t="s">
        <v>15</v>
      </c>
      <c r="E10" s="79">
        <v>819.06</v>
      </c>
      <c r="F10" s="7">
        <f t="shared" ref="F10:F12" si="1">ROUND(C10*E10,2)</f>
        <v>688.01</v>
      </c>
    </row>
    <row r="11" spans="1:6">
      <c r="A11" s="9" t="s">
        <v>16</v>
      </c>
      <c r="B11" s="36" t="s">
        <v>73</v>
      </c>
      <c r="C11" s="6">
        <f>[21]ESTIMATE!G28</f>
        <v>1.68</v>
      </c>
      <c r="D11" s="11" t="s">
        <v>15</v>
      </c>
      <c r="E11" s="79">
        <v>417.3</v>
      </c>
      <c r="F11" s="7">
        <f t="shared" si="1"/>
        <v>701.06</v>
      </c>
    </row>
    <row r="12" spans="1:6">
      <c r="A12" s="9" t="s">
        <v>18</v>
      </c>
      <c r="B12" s="4" t="s">
        <v>74</v>
      </c>
      <c r="C12" s="6">
        <f>[21]ESTIMATE!G29</f>
        <v>98.74</v>
      </c>
      <c r="D12" s="11" t="s">
        <v>15</v>
      </c>
      <c r="E12" s="79">
        <v>117.54</v>
      </c>
      <c r="F12" s="7">
        <f t="shared" si="1"/>
        <v>11605.9</v>
      </c>
    </row>
    <row r="13" spans="1:6">
      <c r="A13" s="15"/>
      <c r="B13" s="15"/>
      <c r="C13" s="425" t="s">
        <v>24</v>
      </c>
      <c r="D13" s="425"/>
      <c r="E13" s="426"/>
      <c r="F13" s="7">
        <f>SUM(F5:F12)</f>
        <v>465691.85000000003</v>
      </c>
    </row>
    <row r="14" spans="1:6">
      <c r="A14" s="15"/>
      <c r="B14" s="15"/>
      <c r="C14" s="436" t="s">
        <v>25</v>
      </c>
      <c r="D14" s="425"/>
      <c r="E14" s="426"/>
      <c r="F14" s="7">
        <f>F13*18%</f>
        <v>83824.53300000001</v>
      </c>
    </row>
    <row r="15" spans="1:6">
      <c r="A15" s="15"/>
      <c r="B15" s="15"/>
      <c r="C15" s="436" t="s">
        <v>24</v>
      </c>
      <c r="D15" s="425"/>
      <c r="E15" s="426"/>
      <c r="F15" s="7">
        <f>SUM(F13:F14)</f>
        <v>549516.38300000003</v>
      </c>
    </row>
    <row r="16" spans="1:6">
      <c r="A16" s="15"/>
      <c r="B16" s="15"/>
      <c r="C16" s="425" t="s">
        <v>71</v>
      </c>
      <c r="D16" s="425"/>
      <c r="E16" s="426"/>
      <c r="F16" s="7">
        <f>ROUND(F15*0.01,2)</f>
        <v>5495.16</v>
      </c>
    </row>
    <row r="17" spans="1:6">
      <c r="A17" s="15"/>
      <c r="B17" s="15"/>
      <c r="C17" s="425" t="s">
        <v>24</v>
      </c>
      <c r="D17" s="425"/>
      <c r="E17" s="426"/>
      <c r="F17" s="7">
        <f>SUM(F15:F16)</f>
        <v>555011.54300000006</v>
      </c>
    </row>
    <row r="18" spans="1:6">
      <c r="A18" s="15"/>
      <c r="B18" s="15"/>
      <c r="C18" s="425" t="s">
        <v>27</v>
      </c>
      <c r="D18" s="425"/>
      <c r="E18" s="426"/>
      <c r="F18" s="7">
        <v>555012</v>
      </c>
    </row>
    <row r="19" spans="1:6" ht="18">
      <c r="A19" s="40"/>
      <c r="B19" s="40"/>
      <c r="C19" s="41"/>
      <c r="D19" s="41"/>
      <c r="E19" s="41"/>
      <c r="F19" s="42"/>
    </row>
    <row r="20" spans="1:6" ht="18">
      <c r="A20" s="40"/>
      <c r="B20" s="40"/>
      <c r="C20" s="41"/>
      <c r="D20" s="41"/>
      <c r="E20" s="41"/>
      <c r="F20" s="42"/>
    </row>
    <row r="21" spans="1:6">
      <c r="A21" s="43"/>
      <c r="B21" s="44"/>
      <c r="C21" s="44"/>
      <c r="D21" s="44"/>
      <c r="E21" s="44"/>
      <c r="F21" s="80"/>
    </row>
    <row r="22" spans="1:6">
      <c r="A22" s="43"/>
      <c r="B22" s="44"/>
      <c r="C22" s="44"/>
      <c r="D22" s="44"/>
      <c r="E22" s="44"/>
      <c r="F22" s="80"/>
    </row>
    <row r="23" spans="1:6" ht="18">
      <c r="A23" s="43"/>
      <c r="B23" s="45" t="s">
        <v>28</v>
      </c>
      <c r="C23" s="46" t="s">
        <v>29</v>
      </c>
      <c r="D23" s="44"/>
      <c r="E23" s="44"/>
      <c r="F23" s="42" t="s">
        <v>30</v>
      </c>
    </row>
    <row r="24" spans="1:6" ht="18">
      <c r="A24" s="43"/>
      <c r="B24" s="45" t="s">
        <v>31</v>
      </c>
      <c r="C24" s="46" t="s">
        <v>32</v>
      </c>
      <c r="D24" s="44"/>
      <c r="E24" s="44"/>
      <c r="F24" s="42" t="s">
        <v>31</v>
      </c>
    </row>
    <row r="25" spans="1:6">
      <c r="A25" s="44"/>
      <c r="B25" s="44"/>
      <c r="C25" s="44"/>
      <c r="D25" s="44"/>
      <c r="E25" s="44"/>
      <c r="F25" s="37"/>
    </row>
    <row r="26" spans="1:6">
      <c r="A26" s="44"/>
      <c r="B26" s="44"/>
      <c r="C26" s="44"/>
      <c r="D26" s="44"/>
      <c r="E26" s="44"/>
      <c r="F26" s="37"/>
    </row>
  </sheetData>
  <mergeCells count="9">
    <mergeCell ref="C16:E16"/>
    <mergeCell ref="C17:E17"/>
    <mergeCell ref="C18:E18"/>
    <mergeCell ref="A1:F1"/>
    <mergeCell ref="A2:F2"/>
    <mergeCell ref="A3:F3"/>
    <mergeCell ref="C13:E13"/>
    <mergeCell ref="C14:E14"/>
    <mergeCell ref="C15:E15"/>
  </mergeCells>
  <pageMargins left="0.7" right="0.7" top="0.75" bottom="0.75" header="0.3" footer="0.3"/>
</worksheet>
</file>

<file path=xl/worksheets/sheet24.xml><?xml version="1.0" encoding="utf-8"?>
<worksheet xmlns="http://schemas.openxmlformats.org/spreadsheetml/2006/main" xmlns:r="http://schemas.openxmlformats.org/officeDocument/2006/relationships">
  <dimension ref="A1:F34"/>
  <sheetViews>
    <sheetView workbookViewId="0">
      <selection activeCell="A3" sqref="A3:F3"/>
    </sheetView>
  </sheetViews>
  <sheetFormatPr defaultRowHeight="15"/>
  <cols>
    <col min="2" max="2" width="51.42578125" customWidth="1"/>
    <col min="5" max="5" width="9" bestFit="1" customWidth="1"/>
    <col min="6" max="6" width="16.28515625" style="20" bestFit="1" customWidth="1"/>
  </cols>
  <sheetData>
    <row r="1" spans="1:6" ht="25.5">
      <c r="A1" s="469" t="s">
        <v>0</v>
      </c>
      <c r="B1" s="470"/>
      <c r="C1" s="470"/>
      <c r="D1" s="470"/>
      <c r="E1" s="470"/>
      <c r="F1" s="471"/>
    </row>
    <row r="2" spans="1:6" ht="18" customHeight="1">
      <c r="A2" s="488" t="s">
        <v>1</v>
      </c>
      <c r="B2" s="489"/>
      <c r="C2" s="489"/>
      <c r="D2" s="489"/>
      <c r="E2" s="489"/>
      <c r="F2" s="490"/>
    </row>
    <row r="3" spans="1:6" ht="32.450000000000003" customHeight="1">
      <c r="A3" s="475" t="str">
        <f>[23]ESTIMATE!A2</f>
        <v>Name of Work :-LAYING OF PAVER BLOK ROAD AND CONSTRUCTION  OF RCC DRAIN AT KURBAN GALI LANE, FROM LAKHAN VISHWAKARMA HOUSE TO MANIK VISHWAKARMA HOUSE UNDER WARD NO-29</v>
      </c>
      <c r="B3" s="476"/>
      <c r="C3" s="476"/>
      <c r="D3" s="476"/>
      <c r="E3" s="476"/>
      <c r="F3" s="477"/>
    </row>
    <row r="4" spans="1:6" ht="31.5">
      <c r="A4" s="89" t="s">
        <v>2</v>
      </c>
      <c r="B4" s="90" t="s">
        <v>3</v>
      </c>
      <c r="C4" s="90" t="s">
        <v>4</v>
      </c>
      <c r="D4" s="90" t="s">
        <v>5</v>
      </c>
      <c r="E4" s="89" t="s">
        <v>6</v>
      </c>
      <c r="F4" s="91" t="s">
        <v>7</v>
      </c>
    </row>
    <row r="5" spans="1:6" ht="22.5" customHeight="1">
      <c r="A5" s="89">
        <f>[23]ESTIMATE!A4</f>
        <v>1</v>
      </c>
      <c r="B5" s="92" t="str">
        <f>[23]ESTIMATE!B4</f>
        <v>Labour for site clearence before and after the work etc.</v>
      </c>
      <c r="C5" s="93">
        <f>[23]ESTIMATE!G4</f>
        <v>7</v>
      </c>
      <c r="D5" s="94" t="s">
        <v>15</v>
      </c>
      <c r="E5" s="93">
        <f>[23]ESTIMATE!I4</f>
        <v>326.85000000000002</v>
      </c>
      <c r="F5" s="95">
        <f t="shared" ref="F5:F16" si="0">ROUND(C5*E5,2)</f>
        <v>2287.9499999999998</v>
      </c>
    </row>
    <row r="6" spans="1:6" ht="47.25">
      <c r="A6" s="89" t="str">
        <f>[23]ESTIMATE!A5</f>
        <v xml:space="preserve">    2         5.10.2</v>
      </c>
      <c r="B6" s="96" t="str">
        <f>[23]ESTIMATE!B5</f>
        <v>Dismantling plain cement or lime concrete work including ………do…….complete as per specification and  direction of E/I.</v>
      </c>
      <c r="C6" s="93">
        <f>[23]ESTIMATE!G7</f>
        <v>3.55</v>
      </c>
      <c r="D6" s="94" t="s">
        <v>15</v>
      </c>
      <c r="E6" s="93">
        <f>[23]ESTIMATE!I7</f>
        <v>955.89</v>
      </c>
      <c r="F6" s="95">
        <f t="shared" si="0"/>
        <v>3393.41</v>
      </c>
    </row>
    <row r="7" spans="1:6" ht="126">
      <c r="A7" s="89" t="str">
        <f>[23]ESTIMATE!A8</f>
        <v>3       5.1.1.</v>
      </c>
      <c r="B7" s="96" t="s">
        <v>9</v>
      </c>
      <c r="C7" s="93">
        <f>[23]ESTIMATE!G12</f>
        <v>31.9</v>
      </c>
      <c r="D7" s="94" t="s">
        <v>15</v>
      </c>
      <c r="E7" s="93">
        <f>[23]ESTIMATE!I12</f>
        <v>151.82</v>
      </c>
      <c r="F7" s="95">
        <f t="shared" si="0"/>
        <v>4843.0600000000004</v>
      </c>
    </row>
    <row r="8" spans="1:6" ht="220.5">
      <c r="A8" s="89" t="str">
        <f>[23]ESTIMATE!A13</f>
        <v>4.       16.91.2   DSR</v>
      </c>
      <c r="B8" s="96" t="str">
        <f>[23]ESTIMATE!B13</f>
        <v>Providing and laying factory made chamfered edge 80mm thick cement concrete paver block  of M-30 grade with approved colour design and pattern using in footpath ,parks ,lawns,drive ways or lighttraffic parking etc,of required strength thickness and size shape made by table vibratory method using PU mould ,laid in required coloure and pattern over 50mm thick compacted bed of sand ,compacting and proper embedding laying of interlocking  paver blocks into the sand bedding layer through vibratory compaction by using plate vibrator,filling the joints with sand cutting of paver blocks as per required size and pattern ,finishing and sweeing extra sand complete all as per direction of  E/I</v>
      </c>
      <c r="C8" s="93">
        <f>[23]ESTIMATE!G16</f>
        <v>31.86</v>
      </c>
      <c r="D8" s="94" t="s">
        <v>15</v>
      </c>
      <c r="E8" s="93">
        <f>[23]ESTIMATE!I16</f>
        <v>877.72</v>
      </c>
      <c r="F8" s="95">
        <f t="shared" si="0"/>
        <v>27964.16</v>
      </c>
    </row>
    <row r="9" spans="1:6" ht="78.75">
      <c r="A9" s="89" t="str">
        <f>[23]ESTIMATE!A17</f>
        <v>5.     5.3.1.1</v>
      </c>
      <c r="B9" s="96" t="str">
        <f>[23]ESTIMATE!B17</f>
        <v xml:space="preserve">Providing and laying in position cement concrete of specified grade excluding the cost of centering and shuttering- All work upto plinth level : 1:1½:3 (1 cemet : 1½ coarse sand (zone-iii) : 3 graded stone aggregate 20mm nominal size )  </v>
      </c>
      <c r="C9" s="93">
        <f>[23]ESTIMATE!G20</f>
        <v>1.39</v>
      </c>
      <c r="D9" s="94" t="s">
        <v>15</v>
      </c>
      <c r="E9" s="93">
        <f>[23]ESTIMATE!I20</f>
        <v>4961.7299999999996</v>
      </c>
      <c r="F9" s="95">
        <f t="shared" si="0"/>
        <v>6896.8</v>
      </c>
    </row>
    <row r="10" spans="1:6" ht="126">
      <c r="A10" s="89" t="str">
        <f>[23]ESTIMATE!A21</f>
        <v>6.           M-004</v>
      </c>
      <c r="B10" s="96" t="str">
        <f>[23]ESTIMATE!B21</f>
        <v xml:space="preserve">Providing stone cruster dust finer than 3mm with not more than 10% passing 0.075 sieve at Quarry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v>
      </c>
      <c r="C10" s="93">
        <f>[23]ESTIMATE!G24</f>
        <v>2.66</v>
      </c>
      <c r="D10" s="94" t="s">
        <v>15</v>
      </c>
      <c r="E10" s="93">
        <f>[23]ESTIMATE!I24</f>
        <v>481.67</v>
      </c>
      <c r="F10" s="95">
        <f t="shared" si="0"/>
        <v>1281.24</v>
      </c>
    </row>
    <row r="11" spans="1:6" ht="78.75">
      <c r="A11" s="89" t="str">
        <f>[23]ESTIMATE!A25</f>
        <v>7.       5.6.8 (C.I.W.)</v>
      </c>
      <c r="B11" s="96" t="s">
        <v>48</v>
      </c>
      <c r="C11" s="93">
        <f>[23]ESTIMATE!G28</f>
        <v>4.47</v>
      </c>
      <c r="D11" s="94" t="s">
        <v>15</v>
      </c>
      <c r="E11" s="93">
        <f>[23]ESTIMATE!I28</f>
        <v>1756.4</v>
      </c>
      <c r="F11" s="95">
        <f t="shared" si="0"/>
        <v>7851.11</v>
      </c>
    </row>
    <row r="12" spans="1:6" ht="65.099999999999994" customHeight="1">
      <c r="A12" s="89" t="str">
        <f>[23]ESTIMATE!A29</f>
        <v>8.                                    5.3.10</v>
      </c>
      <c r="B12" s="97" t="str">
        <f>[23]ESTIMATE!B29</f>
        <v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v>
      </c>
      <c r="C12" s="93">
        <f>[23]ESTIMATE!G33</f>
        <v>7.72</v>
      </c>
      <c r="D12" s="94" t="s">
        <v>15</v>
      </c>
      <c r="E12" s="93">
        <f>[23]ESTIMATE!I33</f>
        <v>6082.45</v>
      </c>
      <c r="F12" s="95">
        <f t="shared" si="0"/>
        <v>46956.51</v>
      </c>
    </row>
    <row r="13" spans="1:6" ht="65.099999999999994" customHeight="1">
      <c r="A13" s="89" t="str">
        <f>[23]ESTIMATE!A34</f>
        <v>9                  5.3.11</v>
      </c>
      <c r="B13" s="97" t="str">
        <f>[23]ESTIMATE!B34</f>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
      <c r="C13" s="93">
        <f>[23]ESTIMATE!G37</f>
        <v>5.32</v>
      </c>
      <c r="D13" s="94" t="s">
        <v>15</v>
      </c>
      <c r="E13" s="93">
        <f>[23]ESTIMATE!I37</f>
        <v>6308.87</v>
      </c>
      <c r="F13" s="95">
        <f t="shared" si="0"/>
        <v>33563.19</v>
      </c>
    </row>
    <row r="14" spans="1:6" ht="65.099999999999994" customHeight="1">
      <c r="A14" s="89">
        <f>[23]ESTIMATE!A38</f>
        <v>10</v>
      </c>
      <c r="B14" s="97" t="str">
        <f>[23]ESTIMATE!B38</f>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
      <c r="C14" s="93">
        <f>[23]ESTIMATE!G42</f>
        <v>0.49</v>
      </c>
      <c r="D14" s="94" t="str">
        <f>[23]ESTIMATE!H42</f>
        <v>MT</v>
      </c>
      <c r="E14" s="93">
        <f>[23]ESTIMATE!I42</f>
        <v>83314.02</v>
      </c>
      <c r="F14" s="95">
        <f t="shared" si="0"/>
        <v>40823.870000000003</v>
      </c>
    </row>
    <row r="15" spans="1:6" ht="15.75">
      <c r="A15" s="89"/>
      <c r="B15" s="97"/>
      <c r="C15" s="93">
        <f>[23]ESTIMATE!G46</f>
        <v>0.6</v>
      </c>
      <c r="D15" s="94" t="str">
        <f>[23]ESTIMATE!H46</f>
        <v>MT</v>
      </c>
      <c r="E15" s="93">
        <f>[23]ESTIMATE!I46</f>
        <v>82096.539999999994</v>
      </c>
      <c r="F15" s="95">
        <f t="shared" si="0"/>
        <v>49257.919999999998</v>
      </c>
    </row>
    <row r="16" spans="1:6" ht="63">
      <c r="A16" s="89" t="str">
        <f>[23]ESTIMATE!A47</f>
        <v>11                 5.3.17.1</v>
      </c>
      <c r="B16" s="96" t="str">
        <f>[23]ESTIMATE!B47</f>
        <v>Centering and shuttering including strutting, propping etc. and removal of from for Foundations,footings, bases of columns, etc. for mass concrete.</v>
      </c>
      <c r="C16" s="93">
        <f>[23]ESTIMATE!G52</f>
        <v>104.55</v>
      </c>
      <c r="D16" s="98" t="s">
        <v>11</v>
      </c>
      <c r="E16" s="89">
        <f>[23]ESTIMATE!I52</f>
        <v>194.5</v>
      </c>
      <c r="F16" s="91">
        <f t="shared" si="0"/>
        <v>20334.98</v>
      </c>
    </row>
    <row r="17" spans="1:6" ht="15.75">
      <c r="A17" s="89">
        <f>[23]ESTIMATE!A53</f>
        <v>12</v>
      </c>
      <c r="B17" s="99" t="s">
        <v>12</v>
      </c>
      <c r="C17" s="94"/>
      <c r="D17" s="100"/>
      <c r="E17" s="101"/>
      <c r="F17" s="95"/>
    </row>
    <row r="18" spans="1:6" ht="15.75">
      <c r="A18" s="102" t="s">
        <v>13</v>
      </c>
      <c r="B18" s="103" t="s">
        <v>76</v>
      </c>
      <c r="C18" s="94">
        <f>PRODUCT('[23]MATERIAL '!F7)</f>
        <v>5.61</v>
      </c>
      <c r="D18" s="100" t="s">
        <v>15</v>
      </c>
      <c r="E18" s="1">
        <f>[23]ESTIMATE!I54</f>
        <v>819.06</v>
      </c>
      <c r="F18" s="95">
        <f t="shared" ref="F18:F22" si="1">ROUND(C18*E18,2)</f>
        <v>4594.93</v>
      </c>
    </row>
    <row r="19" spans="1:6" ht="15.75">
      <c r="A19" s="102" t="s">
        <v>16</v>
      </c>
      <c r="B19" s="103" t="s">
        <v>77</v>
      </c>
      <c r="C19" s="94">
        <f>PRODUCT('[23]MATERIAL '!G7)</f>
        <v>2.66</v>
      </c>
      <c r="D19" s="100" t="s">
        <v>15</v>
      </c>
      <c r="E19" s="34">
        <f>[23]ESTIMATE!I55</f>
        <v>417.3</v>
      </c>
      <c r="F19" s="95">
        <f t="shared" si="1"/>
        <v>1110.02</v>
      </c>
    </row>
    <row r="20" spans="1:6" ht="15.75">
      <c r="A20" s="102" t="s">
        <v>18</v>
      </c>
      <c r="B20" s="104" t="s">
        <v>78</v>
      </c>
      <c r="C20" s="94">
        <f>PRODUCT('[23]MATERIAL '!H7)</f>
        <v>11.21</v>
      </c>
      <c r="D20" s="100" t="s">
        <v>15</v>
      </c>
      <c r="E20" s="34">
        <f>[23]ESTIMATE!I56</f>
        <v>417.3</v>
      </c>
      <c r="F20" s="95">
        <f t="shared" si="1"/>
        <v>4677.93</v>
      </c>
    </row>
    <row r="21" spans="1:6" ht="15.75">
      <c r="A21" s="102" t="s">
        <v>20</v>
      </c>
      <c r="B21" s="104" t="s">
        <v>79</v>
      </c>
      <c r="C21" s="94">
        <f>PRODUCT('[23]MATERIAL '!I7)</f>
        <v>4.47</v>
      </c>
      <c r="D21" s="100" t="s">
        <v>15</v>
      </c>
      <c r="E21" s="1">
        <f>[23]ESTIMATE!I57</f>
        <v>648.59</v>
      </c>
      <c r="F21" s="95">
        <f t="shared" si="1"/>
        <v>2899.2</v>
      </c>
    </row>
    <row r="22" spans="1:6" ht="15.75">
      <c r="A22" s="102" t="s">
        <v>22</v>
      </c>
      <c r="B22" s="96" t="s">
        <v>80</v>
      </c>
      <c r="C22" s="94">
        <f>PRODUCT('[23]MATERIAL '!J7)</f>
        <v>31.9</v>
      </c>
      <c r="D22" s="100" t="s">
        <v>15</v>
      </c>
      <c r="E22" s="34">
        <f>[23]ESTIMATE!I58</f>
        <v>117.54</v>
      </c>
      <c r="F22" s="95">
        <f t="shared" si="1"/>
        <v>3749.53</v>
      </c>
    </row>
    <row r="23" spans="1:6" ht="15.75">
      <c r="A23" s="105"/>
      <c r="B23" s="105"/>
      <c r="C23" s="467" t="s">
        <v>24</v>
      </c>
      <c r="D23" s="467"/>
      <c r="E23" s="468"/>
      <c r="F23" s="95">
        <f>SUM(F5:F22)</f>
        <v>262485.81</v>
      </c>
    </row>
    <row r="24" spans="1:6" ht="15.75">
      <c r="A24" s="105"/>
      <c r="B24" s="105"/>
      <c r="C24" s="478" t="s">
        <v>25</v>
      </c>
      <c r="D24" s="467"/>
      <c r="E24" s="468"/>
      <c r="F24" s="95">
        <f>F23*18%</f>
        <v>47247.445800000001</v>
      </c>
    </row>
    <row r="25" spans="1:6" ht="15.75">
      <c r="A25" s="105"/>
      <c r="B25" s="105"/>
      <c r="C25" s="478" t="s">
        <v>24</v>
      </c>
      <c r="D25" s="467"/>
      <c r="E25" s="468"/>
      <c r="F25" s="95">
        <f>SUM(F23:F24)</f>
        <v>309733.25579999998</v>
      </c>
    </row>
    <row r="26" spans="1:6" ht="15.75">
      <c r="A26" s="105"/>
      <c r="B26" s="105"/>
      <c r="C26" s="467" t="s">
        <v>81</v>
      </c>
      <c r="D26" s="467"/>
      <c r="E26" s="468"/>
      <c r="F26" s="95">
        <f>ROUND(F25*0.01,2)</f>
        <v>3097.33</v>
      </c>
    </row>
    <row r="27" spans="1:6" ht="15.75">
      <c r="A27" s="105"/>
      <c r="B27" s="105"/>
      <c r="C27" s="467" t="s">
        <v>24</v>
      </c>
      <c r="D27" s="467"/>
      <c r="E27" s="468"/>
      <c r="F27" s="95">
        <f>SUM(F25:F26)</f>
        <v>312830.5858</v>
      </c>
    </row>
    <row r="28" spans="1:6" ht="18.75">
      <c r="A28" s="105"/>
      <c r="B28" s="105"/>
      <c r="C28" s="467" t="s">
        <v>27</v>
      </c>
      <c r="D28" s="467"/>
      <c r="E28" s="468"/>
      <c r="F28" s="106">
        <v>312831</v>
      </c>
    </row>
    <row r="29" spans="1:6" ht="18.75">
      <c r="A29" s="107"/>
      <c r="B29" s="107"/>
      <c r="C29" s="108"/>
      <c r="D29" s="108"/>
      <c r="E29" s="108"/>
      <c r="F29" s="109"/>
    </row>
    <row r="30" spans="1:6" ht="18.75">
      <c r="A30" s="107"/>
      <c r="B30" s="107"/>
      <c r="C30" s="108"/>
      <c r="D30" s="108"/>
      <c r="E30" s="108"/>
      <c r="F30" s="109"/>
    </row>
    <row r="31" spans="1:6">
      <c r="A31" s="19"/>
    </row>
    <row r="32" spans="1:6">
      <c r="A32" s="19"/>
    </row>
    <row r="33" spans="1:6" ht="18.75">
      <c r="A33" s="19"/>
      <c r="B33" s="21" t="s">
        <v>28</v>
      </c>
      <c r="C33" s="22" t="s">
        <v>29</v>
      </c>
      <c r="F33" s="18" t="s">
        <v>30</v>
      </c>
    </row>
    <row r="34" spans="1:6" ht="18.75">
      <c r="A34" s="19"/>
      <c r="B34" s="21" t="s">
        <v>31</v>
      </c>
      <c r="C34" s="22" t="s">
        <v>32</v>
      </c>
      <c r="F34" s="18" t="s">
        <v>31</v>
      </c>
    </row>
  </sheetData>
  <mergeCells count="9">
    <mergeCell ref="C26:E26"/>
    <mergeCell ref="C27:E27"/>
    <mergeCell ref="C28:E28"/>
    <mergeCell ref="A1:F1"/>
    <mergeCell ref="A2:F2"/>
    <mergeCell ref="A3:F3"/>
    <mergeCell ref="C23:E23"/>
    <mergeCell ref="C24:E24"/>
    <mergeCell ref="C25:E25"/>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F33"/>
  <sheetViews>
    <sheetView workbookViewId="0">
      <selection activeCell="G7" sqref="G7"/>
    </sheetView>
  </sheetViews>
  <sheetFormatPr defaultRowHeight="15"/>
  <cols>
    <col min="1" max="1" width="8.85546875" bestFit="1" customWidth="1"/>
    <col min="2" max="2" width="52.5703125" customWidth="1"/>
    <col min="3" max="3" width="9.42578125" customWidth="1"/>
    <col min="4" max="4" width="9.5703125" customWidth="1"/>
    <col min="5" max="5" width="11" customWidth="1"/>
    <col min="6" max="6" width="19.85546875" style="129" customWidth="1"/>
  </cols>
  <sheetData>
    <row r="1" spans="1:6" ht="20.25">
      <c r="A1" s="472" t="s">
        <v>0</v>
      </c>
      <c r="B1" s="473"/>
      <c r="C1" s="473"/>
      <c r="D1" s="473"/>
      <c r="E1" s="473"/>
      <c r="F1" s="474"/>
    </row>
    <row r="2" spans="1:6" ht="18" customHeight="1">
      <c r="A2" s="488" t="s">
        <v>1</v>
      </c>
      <c r="B2" s="489"/>
      <c r="C2" s="489"/>
      <c r="D2" s="489"/>
      <c r="E2" s="489"/>
      <c r="F2" s="490"/>
    </row>
    <row r="3" spans="1:6" ht="27" customHeight="1">
      <c r="A3" s="493" t="str">
        <f>[24]ESTIMATE!A2</f>
        <v>Name of Work :-CONSTRUCTION OF RCC DRAIN AT SHAHBAG FROM MAHAMUD SHAH HOUSE TO BABU HOUSE AND AHAMAD HOUSE TO EKRAM SHAH SHOP UNDER WARD NO-29</v>
      </c>
      <c r="B3" s="494"/>
      <c r="C3" s="494"/>
      <c r="D3" s="494"/>
      <c r="E3" s="494"/>
      <c r="F3" s="495"/>
    </row>
    <row r="4" spans="1:6" ht="31.5">
      <c r="A4" s="110" t="s">
        <v>2</v>
      </c>
      <c r="B4" s="111" t="s">
        <v>3</v>
      </c>
      <c r="C4" s="111" t="s">
        <v>4</v>
      </c>
      <c r="D4" s="111" t="s">
        <v>5</v>
      </c>
      <c r="E4" s="110" t="s">
        <v>6</v>
      </c>
      <c r="F4" s="112" t="s">
        <v>7</v>
      </c>
    </row>
    <row r="5" spans="1:6" ht="22.5" customHeight="1">
      <c r="A5" s="110">
        <f>[24]ESTIMATE!A4</f>
        <v>1</v>
      </c>
      <c r="B5" s="113" t="str">
        <f>[24]ESTIMATE!B4</f>
        <v>Labour for site clearence before and after the work etc.</v>
      </c>
      <c r="C5" s="114">
        <f>[24]ESTIMATE!G4</f>
        <v>3</v>
      </c>
      <c r="D5" s="115" t="str">
        <f>[24]ESTIMATE!H4</f>
        <v>Nos.</v>
      </c>
      <c r="E5" s="114">
        <f>[24]ESTIMATE!I4</f>
        <v>326.85000000000002</v>
      </c>
      <c r="F5" s="116">
        <f t="shared" ref="F5:F15" si="0">ROUND(C5*E5,2)</f>
        <v>980.55</v>
      </c>
    </row>
    <row r="6" spans="1:6" ht="75">
      <c r="A6" s="110" t="str">
        <f>[24]ESTIMATE!A5</f>
        <v>2       5.10.1</v>
      </c>
      <c r="B6" s="117" t="str">
        <f>[24]ESTIMATE!B5</f>
        <v>Dismantling pucca brick or lime work including stacking serviceable materials in countable stacks within 15M.lead and disposal of unserviceable materials with all leads complete  as per direction of E/I</v>
      </c>
      <c r="C6" s="114">
        <f>[24]ESTIMATE!G8</f>
        <v>6.37</v>
      </c>
      <c r="D6" s="115" t="s">
        <v>15</v>
      </c>
      <c r="E6" s="114">
        <f>[24]ESTIMATE!I8</f>
        <v>541.66999999999996</v>
      </c>
      <c r="F6" s="116">
        <f t="shared" si="0"/>
        <v>3450.44</v>
      </c>
    </row>
    <row r="7" spans="1:6" ht="75">
      <c r="A7" s="110" t="str">
        <f>[24]ESTIMATE!A9</f>
        <v>3       5.10.2</v>
      </c>
      <c r="B7" s="117" t="str">
        <f>[24]ESTIMATE!B9</f>
        <v>Dismantling  plain cement concrete or lime concrete work including stacking serviceable material in countable stacks withnn 15M.lead and disposal of unserviceable material with all lead completed as per direction of E/I.</v>
      </c>
      <c r="C7" s="114">
        <f>[24]ESTIMATE!G12</f>
        <v>1.06</v>
      </c>
      <c r="D7" s="115" t="s">
        <v>15</v>
      </c>
      <c r="E7" s="114">
        <f>[24]ESTIMATE!I12</f>
        <v>955.89</v>
      </c>
      <c r="F7" s="116">
        <f t="shared" si="0"/>
        <v>1013.24</v>
      </c>
    </row>
    <row r="8" spans="1:6" ht="120">
      <c r="A8" s="110" t="str">
        <f>[24]ESTIMATE!A13</f>
        <v>4       5.1.1.</v>
      </c>
      <c r="B8" s="117" t="s">
        <v>9</v>
      </c>
      <c r="C8" s="114">
        <f>[24]ESTIMATE!G17</f>
        <v>30.37</v>
      </c>
      <c r="D8" s="115" t="s">
        <v>15</v>
      </c>
      <c r="E8" s="114">
        <f>[24]ESTIMATE!I17</f>
        <v>151.82</v>
      </c>
      <c r="F8" s="116">
        <f t="shared" si="0"/>
        <v>4610.7700000000004</v>
      </c>
    </row>
    <row r="9" spans="1:6" ht="105">
      <c r="A9" s="110" t="str">
        <f>[24]ESTIMATE!A18</f>
        <v>5.         5.1.10</v>
      </c>
      <c r="B9" s="117" t="s">
        <v>46</v>
      </c>
      <c r="C9" s="114">
        <f>[24]ESTIMATE!G21</f>
        <v>3.54</v>
      </c>
      <c r="D9" s="115" t="s">
        <v>15</v>
      </c>
      <c r="E9" s="114">
        <f>[24]ESTIMATE!I21</f>
        <v>589.51</v>
      </c>
      <c r="F9" s="116">
        <f t="shared" si="0"/>
        <v>2086.87</v>
      </c>
    </row>
    <row r="10" spans="1:6" ht="75">
      <c r="A10" s="110" t="str">
        <f>[24]ESTIMATE!A22</f>
        <v>6.       5.6.8 (C.I.W.)</v>
      </c>
      <c r="B10" s="117" t="s">
        <v>48</v>
      </c>
      <c r="C10" s="114">
        <f>[24]ESTIMATE!G25</f>
        <v>5.95</v>
      </c>
      <c r="D10" s="115" t="s">
        <v>15</v>
      </c>
      <c r="E10" s="114">
        <f>[24]ESTIMATE!I25</f>
        <v>1756.4</v>
      </c>
      <c r="F10" s="116">
        <f t="shared" si="0"/>
        <v>10450.58</v>
      </c>
    </row>
    <row r="11" spans="1:6" ht="65.099999999999994" customHeight="1">
      <c r="A11" s="110" t="str">
        <f>[24]ESTIMATE!A26</f>
        <v>7.                                    5.3.10</v>
      </c>
      <c r="B11" s="118" t="str">
        <f>[24]ESTIMATE!B26</f>
        <v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v>
      </c>
      <c r="C11" s="114">
        <f>[24]ESTIMATE!G30</f>
        <v>17.7</v>
      </c>
      <c r="D11" s="115" t="s">
        <v>15</v>
      </c>
      <c r="E11" s="114">
        <f>[24]ESTIMATE!I30</f>
        <v>6082.45</v>
      </c>
      <c r="F11" s="116">
        <f t="shared" si="0"/>
        <v>107659.37</v>
      </c>
    </row>
    <row r="12" spans="1:6" ht="65.099999999999994" customHeight="1">
      <c r="A12" s="110" t="str">
        <f>[24]ESTIMATE!A31</f>
        <v>8                  5.3.11</v>
      </c>
      <c r="B12" s="118" t="str">
        <f>[24]ESTIMATE!B31</f>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
      <c r="C12" s="114">
        <f>[24]ESTIMATE!G34</f>
        <v>7.08</v>
      </c>
      <c r="D12" s="115" t="s">
        <v>15</v>
      </c>
      <c r="E12" s="114">
        <f>[24]ESTIMATE!I34</f>
        <v>6308.87</v>
      </c>
      <c r="F12" s="116">
        <f t="shared" si="0"/>
        <v>44666.8</v>
      </c>
    </row>
    <row r="13" spans="1:6" ht="65.099999999999994" customHeight="1">
      <c r="A13" s="110">
        <f>[24]ESTIMATE!A35</f>
        <v>9</v>
      </c>
      <c r="B13" s="118" t="str">
        <f>[24]ESTIMATE!B35</f>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
      <c r="C13" s="114">
        <f>[24]ESTIMATE!G39</f>
        <v>0.91</v>
      </c>
      <c r="D13" s="115" t="str">
        <f>[24]ESTIMATE!H39</f>
        <v>MT</v>
      </c>
      <c r="E13" s="114">
        <f>[24]ESTIMATE!I39</f>
        <v>83314.02</v>
      </c>
      <c r="F13" s="116">
        <f t="shared" si="0"/>
        <v>75815.759999999995</v>
      </c>
    </row>
    <row r="14" spans="1:6" ht="15.75">
      <c r="A14" s="110"/>
      <c r="B14" s="118"/>
      <c r="C14" s="114">
        <f>[24]ESTIMATE!G43</f>
        <v>1.1200000000000001</v>
      </c>
      <c r="D14" s="115" t="str">
        <f>[24]ESTIMATE!H43</f>
        <v>MT</v>
      </c>
      <c r="E14" s="114">
        <f>[24]ESTIMATE!I43</f>
        <v>82096.539999999994</v>
      </c>
      <c r="F14" s="116">
        <f t="shared" si="0"/>
        <v>91948.12</v>
      </c>
    </row>
    <row r="15" spans="1:6" ht="60">
      <c r="A15" s="110" t="str">
        <f>[24]ESTIMATE!A44</f>
        <v>10                 5.3.17.1</v>
      </c>
      <c r="B15" s="117" t="str">
        <f>[24]ESTIMATE!B44</f>
        <v>Centering and shuttering including strutting, propping etc. and removal of from for Foundations,footings, bases of columns, etc. for mass concrete.</v>
      </c>
      <c r="C15" s="114">
        <f>[24]ESTIMATE!G48</f>
        <v>185.87</v>
      </c>
      <c r="D15" s="119" t="s">
        <v>11</v>
      </c>
      <c r="E15" s="110">
        <f>[24]ESTIMATE!I48</f>
        <v>194.5</v>
      </c>
      <c r="F15" s="112">
        <f t="shared" si="0"/>
        <v>36151.72</v>
      </c>
    </row>
    <row r="16" spans="1:6" ht="15.75">
      <c r="A16" s="110">
        <f>[24]ESTIMATE!A49</f>
        <v>11</v>
      </c>
      <c r="B16" s="120" t="s">
        <v>12</v>
      </c>
      <c r="C16" s="115"/>
      <c r="D16" s="121"/>
      <c r="E16" s="122"/>
      <c r="F16" s="116"/>
    </row>
    <row r="17" spans="1:6" ht="15.75">
      <c r="A17" s="123" t="s">
        <v>13</v>
      </c>
      <c r="B17" s="124" t="str">
        <f>[24]ESTIMATE!B50</f>
        <v>SAND (Kanchi River)-LEAD-47KM</v>
      </c>
      <c r="C17" s="115">
        <f>PRODUCT('[24]MATERIAL '!F7)</f>
        <v>10.66</v>
      </c>
      <c r="D17" s="121" t="s">
        <v>15</v>
      </c>
      <c r="E17" s="1">
        <f>[24]ESTIMATE!I50</f>
        <v>819.06</v>
      </c>
      <c r="F17" s="116">
        <f t="shared" ref="F17:F21" si="1">ROUND(C17*E17,2)</f>
        <v>8731.18</v>
      </c>
    </row>
    <row r="18" spans="1:6" ht="15.75">
      <c r="A18" s="123" t="s">
        <v>16</v>
      </c>
      <c r="B18" s="125" t="str">
        <f>[24]ESTIMATE!B51</f>
        <v>LOCAL SAND-LEAD-16KM</v>
      </c>
      <c r="C18" s="115">
        <f>PRODUCT('[24]MATERIAL '!G7)</f>
        <v>3.54</v>
      </c>
      <c r="D18" s="121" t="s">
        <v>15</v>
      </c>
      <c r="E18" s="34">
        <f>[24]ESTIMATE!I51</f>
        <v>357.78</v>
      </c>
      <c r="F18" s="116">
        <f t="shared" si="1"/>
        <v>1266.54</v>
      </c>
    </row>
    <row r="19" spans="1:6" ht="15.75">
      <c r="A19" s="123" t="s">
        <v>18</v>
      </c>
      <c r="B19" s="125" t="str">
        <f>[24]ESTIMATE!B52</f>
        <v>STONE CHIPS-LEAD-20KM</v>
      </c>
      <c r="C19" s="115">
        <f>PRODUCT('[24]MATERIAL '!H7)</f>
        <v>21.31</v>
      </c>
      <c r="D19" s="121" t="s">
        <v>15</v>
      </c>
      <c r="E19" s="34">
        <f>[24]ESTIMATE!I52</f>
        <v>417.3</v>
      </c>
      <c r="F19" s="116">
        <f t="shared" si="1"/>
        <v>8892.66</v>
      </c>
    </row>
    <row r="20" spans="1:6" ht="15.75">
      <c r="A20" s="123" t="s">
        <v>20</v>
      </c>
      <c r="B20" s="125" t="str">
        <f>[24]ESTIMATE!B53</f>
        <v>BOULDER-LEAD-34KM</v>
      </c>
      <c r="C20" s="115">
        <f>PRODUCT('[24]MATERIAL '!I7)</f>
        <v>5.95</v>
      </c>
      <c r="D20" s="121" t="s">
        <v>15</v>
      </c>
      <c r="E20" s="1">
        <f>[24]ESTIMATE!I53</f>
        <v>648.59</v>
      </c>
      <c r="F20" s="116">
        <f t="shared" si="1"/>
        <v>3859.11</v>
      </c>
    </row>
    <row r="21" spans="1:6" ht="15.75">
      <c r="A21" s="123" t="s">
        <v>22</v>
      </c>
      <c r="B21" s="117" t="str">
        <f>[24]ESTIMATE!B54</f>
        <v>EARTH-LEAD-01KM</v>
      </c>
      <c r="C21" s="115">
        <f>PRODUCT('[24]MATERIAL '!J7)</f>
        <v>30.37</v>
      </c>
      <c r="D21" s="121" t="s">
        <v>15</v>
      </c>
      <c r="E21" s="34">
        <f>[24]ESTIMATE!I54</f>
        <v>117.54</v>
      </c>
      <c r="F21" s="116">
        <f t="shared" si="1"/>
        <v>3569.69</v>
      </c>
    </row>
    <row r="22" spans="1:6" ht="15.75">
      <c r="A22" s="126"/>
      <c r="B22" s="126"/>
      <c r="C22" s="491" t="s">
        <v>24</v>
      </c>
      <c r="D22" s="491"/>
      <c r="E22" s="492"/>
      <c r="F22" s="116">
        <f>SUM(F5:F21)</f>
        <v>405153.39999999991</v>
      </c>
    </row>
    <row r="23" spans="1:6" ht="15.75">
      <c r="A23" s="127"/>
      <c r="B23" s="127"/>
      <c r="C23" s="496" t="s">
        <v>25</v>
      </c>
      <c r="D23" s="496"/>
      <c r="E23" s="496"/>
      <c r="F23" s="116">
        <f>ROUND(F22*0.18,2)</f>
        <v>72927.61</v>
      </c>
    </row>
    <row r="24" spans="1:6" ht="15.75">
      <c r="A24" s="126"/>
      <c r="B24" s="126"/>
      <c r="C24" s="497" t="s">
        <v>24</v>
      </c>
      <c r="D24" s="491"/>
      <c r="E24" s="492"/>
      <c r="F24" s="116">
        <f>SUM(F22:F23)</f>
        <v>478081.00999999989</v>
      </c>
    </row>
    <row r="25" spans="1:6" ht="15.75">
      <c r="A25" s="126"/>
      <c r="B25" s="126"/>
      <c r="C25" s="491" t="s">
        <v>26</v>
      </c>
      <c r="D25" s="491"/>
      <c r="E25" s="492"/>
      <c r="F25" s="116">
        <f>ROUND(F24*0.01,2)</f>
        <v>4780.8100000000004</v>
      </c>
    </row>
    <row r="26" spans="1:6" ht="15.75">
      <c r="A26" s="126"/>
      <c r="B26" s="126"/>
      <c r="C26" s="491" t="s">
        <v>24</v>
      </c>
      <c r="D26" s="491"/>
      <c r="E26" s="492"/>
      <c r="F26" s="116">
        <f>SUM(F24:F25)</f>
        <v>482861.81999999989</v>
      </c>
    </row>
    <row r="27" spans="1:6" ht="18">
      <c r="A27" s="126"/>
      <c r="B27" s="126"/>
      <c r="C27" s="491" t="s">
        <v>27</v>
      </c>
      <c r="D27" s="491"/>
      <c r="E27" s="492"/>
      <c r="F27" s="128">
        <v>482862</v>
      </c>
    </row>
    <row r="28" spans="1:6" ht="18">
      <c r="A28" s="40"/>
      <c r="B28" s="40"/>
      <c r="C28" s="41"/>
      <c r="D28" s="41"/>
      <c r="E28" s="41"/>
      <c r="F28" s="42"/>
    </row>
    <row r="29" spans="1:6" ht="18.75">
      <c r="A29" s="16"/>
      <c r="B29" s="16"/>
      <c r="C29" s="17"/>
      <c r="D29" s="17"/>
      <c r="E29" s="17"/>
      <c r="F29" s="18"/>
    </row>
    <row r="30" spans="1:6">
      <c r="A30" s="19"/>
    </row>
    <row r="31" spans="1:6">
      <c r="A31" s="19"/>
    </row>
    <row r="32" spans="1:6" ht="18.75">
      <c r="A32" s="19"/>
      <c r="B32" s="21"/>
      <c r="C32" s="22"/>
      <c r="F32" s="18"/>
    </row>
    <row r="33" spans="1:6" ht="18.75">
      <c r="A33" s="19"/>
      <c r="B33" s="21"/>
      <c r="C33" s="22"/>
      <c r="F33" s="18"/>
    </row>
  </sheetData>
  <mergeCells count="9">
    <mergeCell ref="C25:E25"/>
    <mergeCell ref="C26:E26"/>
    <mergeCell ref="C27:E27"/>
    <mergeCell ref="A1:F1"/>
    <mergeCell ref="A2:F2"/>
    <mergeCell ref="A3:F3"/>
    <mergeCell ref="C22:E22"/>
    <mergeCell ref="C23:E23"/>
    <mergeCell ref="C24:E24"/>
  </mergeCells>
  <pageMargins left="0.7" right="0.7" top="0.75" bottom="0.75" header="0.3" footer="0.3"/>
</worksheet>
</file>

<file path=xl/worksheets/sheet26.xml><?xml version="1.0" encoding="utf-8"?>
<worksheet xmlns="http://schemas.openxmlformats.org/spreadsheetml/2006/main" xmlns:r="http://schemas.openxmlformats.org/officeDocument/2006/relationships">
  <dimension ref="A1:F32"/>
  <sheetViews>
    <sheetView workbookViewId="0">
      <selection activeCell="A3" sqref="A3:F3"/>
    </sheetView>
  </sheetViews>
  <sheetFormatPr defaultRowHeight="15"/>
  <cols>
    <col min="1" max="1" width="9" bestFit="1" customWidth="1"/>
    <col min="2" max="2" width="53.5703125" customWidth="1"/>
    <col min="3" max="3" width="9" bestFit="1" customWidth="1"/>
    <col min="5" max="5" width="11.28515625" bestFit="1" customWidth="1"/>
    <col min="6" max="6" width="18.7109375" style="129" bestFit="1" customWidth="1"/>
  </cols>
  <sheetData>
    <row r="1" spans="1:6" ht="20.25">
      <c r="A1" s="472" t="s">
        <v>0</v>
      </c>
      <c r="B1" s="473"/>
      <c r="C1" s="473"/>
      <c r="D1" s="473"/>
      <c r="E1" s="473"/>
      <c r="F1" s="474"/>
    </row>
    <row r="2" spans="1:6" ht="18" customHeight="1">
      <c r="A2" s="488" t="s">
        <v>1</v>
      </c>
      <c r="B2" s="489"/>
      <c r="C2" s="489"/>
      <c r="D2" s="489"/>
      <c r="E2" s="489"/>
      <c r="F2" s="490"/>
    </row>
    <row r="3" spans="1:6" ht="32.450000000000003" customHeight="1">
      <c r="A3" s="493" t="str">
        <f>[25]ESTIMATE!A2</f>
        <v>Name of Work :-CONSTRUCTION OF RCC DRAIN AT IRGU ROAD, FROM MASZID TO TANVEER HOUSE UNDER WARD NO-29</v>
      </c>
      <c r="B3" s="494"/>
      <c r="C3" s="494"/>
      <c r="D3" s="494"/>
      <c r="E3" s="494"/>
      <c r="F3" s="495"/>
    </row>
    <row r="4" spans="1:6" ht="31.5">
      <c r="A4" s="110" t="s">
        <v>2</v>
      </c>
      <c r="B4" s="111" t="s">
        <v>3</v>
      </c>
      <c r="C4" s="111" t="s">
        <v>4</v>
      </c>
      <c r="D4" s="111" t="s">
        <v>5</v>
      </c>
      <c r="E4" s="110" t="s">
        <v>6</v>
      </c>
      <c r="F4" s="112" t="s">
        <v>7</v>
      </c>
    </row>
    <row r="5" spans="1:6" ht="22.5" customHeight="1">
      <c r="A5" s="110">
        <f>[25]ESTIMATE!A4</f>
        <v>1</v>
      </c>
      <c r="B5" s="130" t="str">
        <f>[25]ESTIMATE!B4</f>
        <v>Labour for site clearence before and after the work etc.</v>
      </c>
      <c r="C5" s="114">
        <f>[25]ESTIMATE!G4</f>
        <v>1</v>
      </c>
      <c r="D5" s="115" t="str">
        <f>[25]ESTIMATE!H4</f>
        <v>No.</v>
      </c>
      <c r="E5" s="114">
        <f>[25]ESTIMATE!I4</f>
        <v>326.85000000000002</v>
      </c>
      <c r="F5" s="116">
        <f t="shared" ref="F5:F14" si="0">ROUND(C5*E5,2)</f>
        <v>326.85000000000002</v>
      </c>
    </row>
    <row r="6" spans="1:6" ht="45">
      <c r="A6" s="110" t="str">
        <f>[25]ESTIMATE!A5</f>
        <v xml:space="preserve">    2         5.10.2</v>
      </c>
      <c r="B6" s="117" t="str">
        <f>[25]ESTIMATE!B5</f>
        <v>Dismantling plain cement or lime concrete work including ………do…….complete as per specification and  direction of E/I.</v>
      </c>
      <c r="C6" s="114">
        <f>[25]ESTIMATE!G8</f>
        <v>1.06</v>
      </c>
      <c r="D6" s="115" t="s">
        <v>15</v>
      </c>
      <c r="E6" s="114">
        <f>[25]ESTIMATE!I8</f>
        <v>955.89</v>
      </c>
      <c r="F6" s="116">
        <f t="shared" si="0"/>
        <v>1013.24</v>
      </c>
    </row>
    <row r="7" spans="1:6" ht="120">
      <c r="A7" s="110" t="str">
        <f>[25]ESTIMATE!A9</f>
        <v>3       5.1.1.</v>
      </c>
      <c r="B7" s="117" t="s">
        <v>9</v>
      </c>
      <c r="C7" s="114">
        <f>[25]ESTIMATE!G13</f>
        <v>23.63</v>
      </c>
      <c r="D7" s="115" t="s">
        <v>15</v>
      </c>
      <c r="E7" s="114">
        <f>[25]ESTIMATE!I13</f>
        <v>151.82</v>
      </c>
      <c r="F7" s="116">
        <f t="shared" si="0"/>
        <v>3587.51</v>
      </c>
    </row>
    <row r="8" spans="1:6" ht="105">
      <c r="A8" s="110" t="str">
        <f>[25]ESTIMATE!A14</f>
        <v>4.         5.1.10</v>
      </c>
      <c r="B8" s="117" t="s">
        <v>46</v>
      </c>
      <c r="C8" s="114">
        <f>[25]ESTIMATE!G17</f>
        <v>1.95</v>
      </c>
      <c r="D8" s="115" t="s">
        <v>15</v>
      </c>
      <c r="E8" s="114">
        <f>[25]ESTIMATE!I17</f>
        <v>589.51</v>
      </c>
      <c r="F8" s="116">
        <f t="shared" si="0"/>
        <v>1149.54</v>
      </c>
    </row>
    <row r="9" spans="1:6" ht="75">
      <c r="A9" s="110" t="str">
        <f>[25]ESTIMATE!A18</f>
        <v>5.       5.6.8 (C.I.W.)</v>
      </c>
      <c r="B9" s="117" t="s">
        <v>48</v>
      </c>
      <c r="C9" s="114">
        <f>[25]ESTIMATE!G21</f>
        <v>3.27</v>
      </c>
      <c r="D9" s="115" t="s">
        <v>15</v>
      </c>
      <c r="E9" s="114">
        <f>[25]ESTIMATE!I21</f>
        <v>1756.4</v>
      </c>
      <c r="F9" s="116">
        <f t="shared" si="0"/>
        <v>5743.43</v>
      </c>
    </row>
    <row r="10" spans="1:6" ht="65.099999999999994" customHeight="1">
      <c r="A10" s="110" t="str">
        <f>[25]ESTIMATE!A22</f>
        <v>6.                                    5.3.10</v>
      </c>
      <c r="B10" s="118" t="str">
        <f>[25]ESTIMATE!B22</f>
        <v xml:space="preserve">Reinforced cement concrete work in walls (any thickness),including  attached pilasters, buttresses, plinth and string courses, fillets, columns,pillars, piers, abutments, posts and struts etc.above plinth level upto to five level, excluding the cost of centering, shuttering, finishing and reinforcement  with 1:1½:3 (1 cemet : 1½ coarse sand (zone-iii) : 3 graded stone aggregate 20mm nominal size ) </v>
      </c>
      <c r="C10" s="114">
        <f>[25]ESTIMATE!G26</f>
        <v>8.57</v>
      </c>
      <c r="D10" s="115" t="s">
        <v>15</v>
      </c>
      <c r="E10" s="114">
        <f>[25]ESTIMATE!I26</f>
        <v>6082.45</v>
      </c>
      <c r="F10" s="116">
        <f t="shared" si="0"/>
        <v>52126.6</v>
      </c>
    </row>
    <row r="11" spans="1:6" ht="65.099999999999994" customHeight="1">
      <c r="A11" s="110" t="str">
        <f>[25]ESTIMATE!A27</f>
        <v>7                  5.3.11</v>
      </c>
      <c r="B11" s="118" t="str">
        <f>[25]ESTIMATE!B27</f>
        <v xml:space="preserve">Reinforced cement concrete work in beam, suspended floors, roofs having slope up to 15° landing,balconies, shelves, chajjas, lintel, bands, plain window sills, staircases and spiral stair cases above plinth level up to floor five level, excluding the cost of centering, shuttering, finishing and reinfocement, with 1:1.5:3(1 cement : 1.5 coarse sand(zone-iii) : 3 graded  stone aggregate 20mm nominal size)                                                             </v>
      </c>
      <c r="C11" s="114">
        <f>[25]ESTIMATE!G30</f>
        <v>3.89</v>
      </c>
      <c r="D11" s="115" t="s">
        <v>15</v>
      </c>
      <c r="E11" s="114">
        <f>[25]ESTIMATE!I30</f>
        <v>6308.87</v>
      </c>
      <c r="F11" s="116">
        <f t="shared" si="0"/>
        <v>24541.5</v>
      </c>
    </row>
    <row r="12" spans="1:6" ht="65.099999999999994" customHeight="1">
      <c r="A12" s="110">
        <f>[25]ESTIMATE!A31</f>
        <v>8</v>
      </c>
      <c r="B12" s="118" t="str">
        <f>[25]ESTIMATE!B31</f>
        <v xml:space="preserve">Providing  Tor steel reinforcement of 8mm, 10mm, 12mm, and 16mm dia rods bars as per approved design and drawing with cutting,bending and binding with annealed wire with cost of wire,removal of rust,placing the rods in position (excluding carriage of bars to work site), all complete as per building specification and direction of E/I. TMT Fe 500 (only valid for SAIL and TATA steel,JSPL,Electro steel Ltd Bokaro and Vizag (RINL) </v>
      </c>
      <c r="C12" s="114">
        <f>[25]ESTIMATE!G35</f>
        <v>0.46</v>
      </c>
      <c r="D12" s="115" t="str">
        <f>[25]ESTIMATE!H35</f>
        <v>MT</v>
      </c>
      <c r="E12" s="114">
        <f>[25]ESTIMATE!I35</f>
        <v>83314.02</v>
      </c>
      <c r="F12" s="116">
        <f t="shared" si="0"/>
        <v>38324.449999999997</v>
      </c>
    </row>
    <row r="13" spans="1:6" ht="15.75">
      <c r="A13" s="110"/>
      <c r="B13" s="118"/>
      <c r="C13" s="114">
        <f>[25]ESTIMATE!G39</f>
        <v>0.56000000000000005</v>
      </c>
      <c r="D13" s="115" t="str">
        <f>[25]ESTIMATE!H39</f>
        <v>MT</v>
      </c>
      <c r="E13" s="114">
        <f>[25]ESTIMATE!I39</f>
        <v>82096.539999999994</v>
      </c>
      <c r="F13" s="116">
        <f t="shared" si="0"/>
        <v>45974.06</v>
      </c>
    </row>
    <row r="14" spans="1:6" ht="60">
      <c r="A14" s="110" t="str">
        <f>[25]ESTIMATE!A40</f>
        <v>9                 5.3.17.1</v>
      </c>
      <c r="B14" s="117" t="str">
        <f>[25]ESTIMATE!B40</f>
        <v>Centering and shuttering including strutting, propping etc. and removal of from for Foundations,footings, bases of columns, etc. for mass concrete.</v>
      </c>
      <c r="C14" s="114">
        <f>[25]ESTIMATE!G44</f>
        <v>40.89</v>
      </c>
      <c r="D14" s="119" t="s">
        <v>11</v>
      </c>
      <c r="E14" s="110">
        <f>[25]ESTIMATE!I44</f>
        <v>194.5</v>
      </c>
      <c r="F14" s="112">
        <f t="shared" si="0"/>
        <v>7953.11</v>
      </c>
    </row>
    <row r="15" spans="1:6" ht="15.75">
      <c r="A15" s="110">
        <f>[25]ESTIMATE!A45</f>
        <v>10</v>
      </c>
      <c r="B15" s="120" t="s">
        <v>12</v>
      </c>
      <c r="C15" s="115"/>
      <c r="D15" s="121"/>
      <c r="E15" s="122"/>
      <c r="F15" s="116"/>
    </row>
    <row r="16" spans="1:6" ht="15.75">
      <c r="A16" s="123" t="s">
        <v>13</v>
      </c>
      <c r="B16" s="124" t="str">
        <f>[25]ESTIMATE!B46</f>
        <v>SAND (Kanchi River)-LEAD-47KM</v>
      </c>
      <c r="C16" s="115">
        <f>PRODUCT('[25]MATERIAL '!F7)</f>
        <v>5.36</v>
      </c>
      <c r="D16" s="121" t="s">
        <v>15</v>
      </c>
      <c r="E16" s="1">
        <f>[25]ESTIMATE!I46</f>
        <v>819.06</v>
      </c>
      <c r="F16" s="116">
        <f t="shared" ref="F16:F20" si="1">ROUND(C16*E16,2)</f>
        <v>4390.16</v>
      </c>
    </row>
    <row r="17" spans="1:6" ht="15.75">
      <c r="A17" s="123" t="s">
        <v>16</v>
      </c>
      <c r="B17" s="125" t="str">
        <f>[25]ESTIMATE!B47</f>
        <v>LOCAL SAND-LEAD-16KM</v>
      </c>
      <c r="C17" s="115">
        <f>PRODUCT('[25]MATERIAL '!G7)</f>
        <v>1.95</v>
      </c>
      <c r="D17" s="121" t="s">
        <v>15</v>
      </c>
      <c r="E17" s="34">
        <f>[25]ESTIMATE!I47</f>
        <v>357.78</v>
      </c>
      <c r="F17" s="116">
        <f t="shared" si="1"/>
        <v>697.67</v>
      </c>
    </row>
    <row r="18" spans="1:6" ht="15.75">
      <c r="A18" s="123" t="s">
        <v>18</v>
      </c>
      <c r="B18" s="125" t="str">
        <f>[25]ESTIMATE!B48</f>
        <v>STONE CHIPS-LEAD-20KM</v>
      </c>
      <c r="C18" s="115">
        <f>PRODUCT('[25]MATERIAL '!H7)</f>
        <v>10.72</v>
      </c>
      <c r="D18" s="121" t="s">
        <v>15</v>
      </c>
      <c r="E18" s="34">
        <f>[25]ESTIMATE!I48</f>
        <v>417.3</v>
      </c>
      <c r="F18" s="116">
        <f t="shared" si="1"/>
        <v>4473.46</v>
      </c>
    </row>
    <row r="19" spans="1:6" ht="15.75">
      <c r="A19" s="123" t="s">
        <v>20</v>
      </c>
      <c r="B19" s="125" t="str">
        <f>[25]ESTIMATE!B49</f>
        <v>BOULDER-LEAD-34KM</v>
      </c>
      <c r="C19" s="115">
        <f>PRODUCT('[25]MATERIAL '!I7)</f>
        <v>3.27</v>
      </c>
      <c r="D19" s="121" t="s">
        <v>15</v>
      </c>
      <c r="E19" s="1">
        <f>[25]ESTIMATE!I49</f>
        <v>648.59</v>
      </c>
      <c r="F19" s="116">
        <f t="shared" si="1"/>
        <v>2120.89</v>
      </c>
    </row>
    <row r="20" spans="1:6" ht="15.75">
      <c r="A20" s="123" t="s">
        <v>22</v>
      </c>
      <c r="B20" s="117" t="str">
        <f>[25]ESTIMATE!B50</f>
        <v>EARTH-LEAD-01KM</v>
      </c>
      <c r="C20" s="115">
        <f>PRODUCT('[25]MATERIAL '!J7)</f>
        <v>23.63</v>
      </c>
      <c r="D20" s="121" t="s">
        <v>15</v>
      </c>
      <c r="E20" s="34">
        <f>[25]ESTIMATE!I50</f>
        <v>117.54</v>
      </c>
      <c r="F20" s="116">
        <f t="shared" si="1"/>
        <v>2777.47</v>
      </c>
    </row>
    <row r="21" spans="1:6" ht="15.75">
      <c r="A21" s="126"/>
      <c r="B21" s="126"/>
      <c r="C21" s="498" t="s">
        <v>24</v>
      </c>
      <c r="D21" s="498"/>
      <c r="E21" s="499"/>
      <c r="F21" s="116">
        <f>SUM(F5:F20)</f>
        <v>195199.94</v>
      </c>
    </row>
    <row r="22" spans="1:6" ht="15.75">
      <c r="A22" s="127"/>
      <c r="B22" s="127"/>
      <c r="C22" s="500" t="s">
        <v>25</v>
      </c>
      <c r="D22" s="500"/>
      <c r="E22" s="500"/>
      <c r="F22" s="116">
        <f>ROUND(F21*0.18,2)</f>
        <v>35135.99</v>
      </c>
    </row>
    <row r="23" spans="1:6" ht="15.75">
      <c r="A23" s="126"/>
      <c r="B23" s="126"/>
      <c r="C23" s="501" t="s">
        <v>24</v>
      </c>
      <c r="D23" s="498"/>
      <c r="E23" s="499"/>
      <c r="F23" s="116">
        <f>SUM(F21:F22)</f>
        <v>230335.93</v>
      </c>
    </row>
    <row r="24" spans="1:6" ht="15.75">
      <c r="A24" s="126"/>
      <c r="B24" s="126"/>
      <c r="C24" s="498" t="s">
        <v>26</v>
      </c>
      <c r="D24" s="498"/>
      <c r="E24" s="499"/>
      <c r="F24" s="116">
        <f>ROUND(F23*0.01,2)</f>
        <v>2303.36</v>
      </c>
    </row>
    <row r="25" spans="1:6" ht="15.75">
      <c r="A25" s="126"/>
      <c r="B25" s="126"/>
      <c r="C25" s="498" t="s">
        <v>24</v>
      </c>
      <c r="D25" s="498"/>
      <c r="E25" s="499"/>
      <c r="F25" s="116">
        <f>SUM(F23:F24)</f>
        <v>232639.28999999998</v>
      </c>
    </row>
    <row r="26" spans="1:6" ht="18">
      <c r="A26" s="126"/>
      <c r="B26" s="126"/>
      <c r="C26" s="498" t="s">
        <v>27</v>
      </c>
      <c r="D26" s="498"/>
      <c r="E26" s="499"/>
      <c r="F26" s="128">
        <v>232639</v>
      </c>
    </row>
    <row r="27" spans="1:6" ht="18">
      <c r="A27" s="40"/>
      <c r="B27" s="40"/>
      <c r="C27" s="41"/>
      <c r="D27" s="41"/>
      <c r="E27" s="41"/>
      <c r="F27" s="42"/>
    </row>
    <row r="28" spans="1:6" ht="18.75">
      <c r="A28" s="16"/>
      <c r="B28" s="16"/>
      <c r="C28" s="17"/>
      <c r="D28" s="17"/>
      <c r="E28" s="17"/>
      <c r="F28" s="18"/>
    </row>
    <row r="29" spans="1:6">
      <c r="A29" s="19"/>
    </row>
    <row r="30" spans="1:6">
      <c r="A30" s="19"/>
    </row>
    <row r="31" spans="1:6" ht="18.75">
      <c r="A31" s="19"/>
      <c r="B31" s="21"/>
      <c r="C31" s="22"/>
      <c r="F31" s="18"/>
    </row>
    <row r="32" spans="1:6" ht="18.75">
      <c r="A32" s="19"/>
      <c r="B32" s="21"/>
      <c r="C32" s="22"/>
      <c r="F32" s="18"/>
    </row>
  </sheetData>
  <mergeCells count="9">
    <mergeCell ref="C24:E24"/>
    <mergeCell ref="C25:E25"/>
    <mergeCell ref="C26:E26"/>
    <mergeCell ref="A1:F1"/>
    <mergeCell ref="A2:F2"/>
    <mergeCell ref="A3:F3"/>
    <mergeCell ref="C21:E21"/>
    <mergeCell ref="C22:E22"/>
    <mergeCell ref="C23:E23"/>
  </mergeCells>
  <pageMargins left="0.7" right="0.7" top="0.75" bottom="0.75" header="0.3" footer="0.3"/>
</worksheet>
</file>

<file path=xl/worksheets/sheet27.xml><?xml version="1.0" encoding="utf-8"?>
<worksheet xmlns="http://schemas.openxmlformats.org/spreadsheetml/2006/main" xmlns:r="http://schemas.openxmlformats.org/officeDocument/2006/relationships">
  <sheetPr>
    <tabColor theme="0"/>
  </sheetPr>
  <dimension ref="A1:G21"/>
  <sheetViews>
    <sheetView topLeftCell="A10" workbookViewId="0">
      <selection activeCell="B3" sqref="B3:F3"/>
    </sheetView>
  </sheetViews>
  <sheetFormatPr defaultRowHeight="63.75" customHeight="1"/>
  <cols>
    <col min="1" max="1" width="7.5703125" style="304" customWidth="1"/>
    <col min="2" max="2" width="46.85546875" style="304" customWidth="1"/>
    <col min="3" max="3" width="8.5703125" style="304" bestFit="1" customWidth="1"/>
    <col min="4" max="4" width="5.28515625" style="304" customWidth="1"/>
    <col min="5" max="5" width="8.28515625" style="304" customWidth="1"/>
    <col min="6" max="6" width="14" style="304" customWidth="1"/>
    <col min="7" max="16384" width="9.140625" style="304"/>
  </cols>
  <sheetData>
    <row r="1" spans="1:7" ht="22.5">
      <c r="B1" s="509" t="s">
        <v>0</v>
      </c>
      <c r="C1" s="509"/>
      <c r="D1" s="509"/>
      <c r="E1" s="509"/>
      <c r="F1" s="509"/>
    </row>
    <row r="2" spans="1:7" ht="22.5">
      <c r="B2" s="510" t="s">
        <v>75</v>
      </c>
      <c r="C2" s="510"/>
      <c r="D2" s="510"/>
      <c r="E2" s="510"/>
      <c r="F2" s="510"/>
    </row>
    <row r="3" spans="1:7" ht="50.25" customHeight="1">
      <c r="A3" s="173"/>
      <c r="B3" s="511" t="s">
        <v>372</v>
      </c>
      <c r="C3" s="511"/>
      <c r="D3" s="511"/>
      <c r="E3" s="511"/>
      <c r="F3" s="511"/>
      <c r="G3" s="332"/>
    </row>
    <row r="4" spans="1:7" ht="30" customHeight="1">
      <c r="A4" s="333" t="s">
        <v>35</v>
      </c>
      <c r="B4" s="333" t="s">
        <v>36</v>
      </c>
      <c r="C4" s="333" t="s">
        <v>37</v>
      </c>
      <c r="D4" s="333" t="s">
        <v>5</v>
      </c>
      <c r="E4" s="333" t="s">
        <v>38</v>
      </c>
      <c r="F4" s="163" t="s">
        <v>39</v>
      </c>
      <c r="G4" s="180"/>
    </row>
    <row r="5" spans="1:7" ht="114.75">
      <c r="A5" s="333" t="s">
        <v>373</v>
      </c>
      <c r="B5" s="164" t="s">
        <v>374</v>
      </c>
      <c r="C5" s="171">
        <f>[26]Sheet1!G8</f>
        <v>134.62</v>
      </c>
      <c r="D5" s="171" t="s">
        <v>94</v>
      </c>
      <c r="E5" s="171">
        <v>151.82</v>
      </c>
      <c r="F5" s="166">
        <f>ROUND(C5*E5,2)</f>
        <v>20438.009999999998</v>
      </c>
      <c r="G5" s="180"/>
    </row>
    <row r="6" spans="1:7">
      <c r="A6" s="333" t="s">
        <v>375</v>
      </c>
      <c r="B6" s="334" t="s">
        <v>376</v>
      </c>
      <c r="C6" s="171">
        <f>[26]Sheet1!G13</f>
        <v>57.07</v>
      </c>
      <c r="D6" s="171" t="s">
        <v>94</v>
      </c>
      <c r="E6" s="335">
        <v>347.85</v>
      </c>
      <c r="F6" s="166">
        <f t="shared" ref="F6:F15" si="0">ROUND(C6*E6,2)</f>
        <v>19851.8</v>
      </c>
      <c r="G6" s="180"/>
    </row>
    <row r="7" spans="1:7">
      <c r="A7" s="333" t="s">
        <v>377</v>
      </c>
      <c r="B7" s="164" t="s">
        <v>329</v>
      </c>
      <c r="C7" s="170">
        <f>[26]Sheet1!G18</f>
        <v>95.11</v>
      </c>
      <c r="D7" s="171" t="s">
        <v>94</v>
      </c>
      <c r="E7" s="336">
        <v>1756.4</v>
      </c>
      <c r="F7" s="166">
        <f t="shared" si="0"/>
        <v>167051.20000000001</v>
      </c>
      <c r="G7" s="180"/>
    </row>
    <row r="8" spans="1:7" ht="76.5">
      <c r="A8" s="333" t="s">
        <v>378</v>
      </c>
      <c r="B8" s="164" t="s">
        <v>379</v>
      </c>
      <c r="C8" s="170">
        <f>[26]Sheet1!G22</f>
        <v>87.800000000000011</v>
      </c>
      <c r="D8" s="171" t="s">
        <v>94</v>
      </c>
      <c r="E8" s="170">
        <v>4961.7299999999996</v>
      </c>
      <c r="F8" s="166">
        <f t="shared" si="0"/>
        <v>435639.89</v>
      </c>
      <c r="G8" s="180"/>
    </row>
    <row r="9" spans="1:7" ht="51">
      <c r="A9" s="333" t="s">
        <v>380</v>
      </c>
      <c r="B9" s="164" t="s">
        <v>381</v>
      </c>
      <c r="C9" s="170">
        <f>[26]Sheet1!G27</f>
        <v>57.629999999999995</v>
      </c>
      <c r="D9" s="171" t="s">
        <v>172</v>
      </c>
      <c r="E9" s="170">
        <v>194.5</v>
      </c>
      <c r="F9" s="166">
        <f t="shared" si="0"/>
        <v>11209.04</v>
      </c>
      <c r="G9" s="180"/>
    </row>
    <row r="10" spans="1:7" ht="15.75">
      <c r="A10" s="333">
        <v>6</v>
      </c>
      <c r="B10" s="337" t="s">
        <v>144</v>
      </c>
      <c r="C10" s="171"/>
      <c r="D10" s="171"/>
      <c r="E10" s="171"/>
      <c r="F10" s="166"/>
      <c r="G10" s="180"/>
    </row>
    <row r="11" spans="1:7" ht="15.75">
      <c r="A11" s="338" t="s">
        <v>13</v>
      </c>
      <c r="B11" s="285" t="s">
        <v>382</v>
      </c>
      <c r="C11" s="171">
        <f>[26]Sheet2!F7</f>
        <v>37.68</v>
      </c>
      <c r="D11" s="339" t="s">
        <v>383</v>
      </c>
      <c r="E11" s="187">
        <v>848.82</v>
      </c>
      <c r="F11" s="166">
        <f t="shared" si="0"/>
        <v>31983.54</v>
      </c>
      <c r="G11" s="180"/>
    </row>
    <row r="12" spans="1:7" ht="15.75">
      <c r="A12" s="281" t="s">
        <v>16</v>
      </c>
      <c r="B12" s="285" t="s">
        <v>384</v>
      </c>
      <c r="C12" s="171">
        <f>[26]Sheet2!E7</f>
        <v>57.07</v>
      </c>
      <c r="D12" s="339" t="s">
        <v>383</v>
      </c>
      <c r="E12" s="187">
        <v>328.02</v>
      </c>
      <c r="F12" s="166">
        <f t="shared" si="0"/>
        <v>18720.099999999999</v>
      </c>
      <c r="G12" s="180"/>
    </row>
    <row r="13" spans="1:7" ht="15.75">
      <c r="A13" s="281" t="s">
        <v>18</v>
      </c>
      <c r="B13" s="285" t="s">
        <v>385</v>
      </c>
      <c r="C13" s="171">
        <f>[26]Sheet2!H7</f>
        <v>95.11</v>
      </c>
      <c r="D13" s="339" t="s">
        <v>383</v>
      </c>
      <c r="E13" s="187">
        <v>679.66</v>
      </c>
      <c r="F13" s="166">
        <f t="shared" si="0"/>
        <v>64642.46</v>
      </c>
      <c r="G13" s="180"/>
    </row>
    <row r="14" spans="1:7" ht="15.75">
      <c r="A14" s="281" t="s">
        <v>20</v>
      </c>
      <c r="B14" s="285" t="s">
        <v>386</v>
      </c>
      <c r="C14" s="171">
        <f>[26]Sheet2!G7</f>
        <v>75.36</v>
      </c>
      <c r="D14" s="339" t="s">
        <v>383</v>
      </c>
      <c r="E14" s="187">
        <v>447.06</v>
      </c>
      <c r="F14" s="166">
        <f t="shared" si="0"/>
        <v>33690.44</v>
      </c>
      <c r="G14" s="180"/>
    </row>
    <row r="15" spans="1:7" ht="15.75">
      <c r="A15" s="281" t="s">
        <v>22</v>
      </c>
      <c r="B15" s="285" t="s">
        <v>23</v>
      </c>
      <c r="C15" s="171">
        <f>[26]Sheet2!I7</f>
        <v>134.62</v>
      </c>
      <c r="D15" s="339" t="s">
        <v>383</v>
      </c>
      <c r="E15" s="187">
        <v>117.54</v>
      </c>
      <c r="F15" s="166">
        <f t="shared" si="0"/>
        <v>15823.23</v>
      </c>
    </row>
    <row r="16" spans="1:7" ht="12.75">
      <c r="A16" s="173"/>
      <c r="B16" s="505" t="s">
        <v>24</v>
      </c>
      <c r="C16" s="506"/>
      <c r="D16" s="506"/>
      <c r="E16" s="507"/>
      <c r="F16" s="340">
        <f>SUM(F5:F15)</f>
        <v>819049.71</v>
      </c>
    </row>
    <row r="17" spans="1:6" ht="12.75">
      <c r="A17" s="173"/>
      <c r="B17" s="502" t="s">
        <v>387</v>
      </c>
      <c r="C17" s="503"/>
      <c r="D17" s="503"/>
      <c r="E17" s="504"/>
      <c r="F17" s="340">
        <f>F16*18%</f>
        <v>147428.94779999999</v>
      </c>
    </row>
    <row r="18" spans="1:6" ht="12.75">
      <c r="A18" s="173"/>
      <c r="B18" s="505" t="s">
        <v>321</v>
      </c>
      <c r="C18" s="506"/>
      <c r="D18" s="506"/>
      <c r="E18" s="507"/>
      <c r="F18" s="340">
        <f>SUM(F16:F17)</f>
        <v>966478.65779999993</v>
      </c>
    </row>
    <row r="19" spans="1:6" ht="12.75">
      <c r="A19" s="173"/>
      <c r="B19" s="502" t="s">
        <v>388</v>
      </c>
      <c r="C19" s="503"/>
      <c r="D19" s="503"/>
      <c r="E19" s="504"/>
      <c r="F19" s="340">
        <f>ROUND(F18*1/100,2)</f>
        <v>9664.7900000000009</v>
      </c>
    </row>
    <row r="20" spans="1:6" ht="15">
      <c r="B20" s="505" t="s">
        <v>321</v>
      </c>
      <c r="C20" s="506"/>
      <c r="D20" s="506"/>
      <c r="E20" s="507"/>
      <c r="F20" s="342">
        <f>SUM(F18:F19)</f>
        <v>976143.44779999997</v>
      </c>
    </row>
    <row r="21" spans="1:6" ht="63.75" customHeight="1">
      <c r="A21" s="508"/>
      <c r="B21" s="508"/>
      <c r="C21" s="508"/>
      <c r="D21" s="508"/>
      <c r="E21" s="508"/>
      <c r="F21" s="508"/>
    </row>
  </sheetData>
  <mergeCells count="9">
    <mergeCell ref="B19:E19"/>
    <mergeCell ref="B20:E20"/>
    <mergeCell ref="A21:F21"/>
    <mergeCell ref="B1:F1"/>
    <mergeCell ref="B2:F2"/>
    <mergeCell ref="B3:F3"/>
    <mergeCell ref="B16:E16"/>
    <mergeCell ref="B17:E17"/>
    <mergeCell ref="B18:E18"/>
  </mergeCells>
  <pageMargins left="0.7" right="0.7" top="0.75" bottom="0.75" header="0.3" footer="0.3"/>
</worksheet>
</file>

<file path=xl/worksheets/sheet28.xml><?xml version="1.0" encoding="utf-8"?>
<worksheet xmlns="http://schemas.openxmlformats.org/spreadsheetml/2006/main" xmlns:r="http://schemas.openxmlformats.org/officeDocument/2006/relationships">
  <dimension ref="A1:F28"/>
  <sheetViews>
    <sheetView workbookViewId="0">
      <selection activeCell="A3" sqref="A3:F3"/>
    </sheetView>
  </sheetViews>
  <sheetFormatPr defaultRowHeight="15"/>
  <cols>
    <col min="1" max="1" width="9" bestFit="1" customWidth="1"/>
    <col min="2" max="2" width="62.28515625" customWidth="1"/>
    <col min="3" max="3" width="9.7109375" bestFit="1" customWidth="1"/>
    <col min="5" max="5" width="9.28515625" customWidth="1"/>
    <col min="6" max="6" width="17.28515625" style="20" bestFit="1" customWidth="1"/>
  </cols>
  <sheetData>
    <row r="1" spans="1:6" ht="23.25">
      <c r="A1" s="437" t="s">
        <v>0</v>
      </c>
      <c r="B1" s="438"/>
      <c r="C1" s="438"/>
      <c r="D1" s="438"/>
      <c r="E1" s="438"/>
      <c r="F1" s="439"/>
    </row>
    <row r="2" spans="1:6" ht="18" customHeight="1">
      <c r="A2" s="427" t="s">
        <v>1</v>
      </c>
      <c r="B2" s="428"/>
      <c r="C2" s="428"/>
      <c r="D2" s="428"/>
      <c r="E2" s="428"/>
      <c r="F2" s="429"/>
    </row>
    <row r="3" spans="1:6" ht="33.75" customHeight="1">
      <c r="A3" s="512" t="str">
        <f>[27]ESTIMATE!A2</f>
        <v>Name of Work :-CONSTRUCTION OF PCC ROAD AT ILAHI NAGAR FROM HOUSE OF RAJA JEE TO P.C.C MAIN ROAD UNDER WARD NO-35</v>
      </c>
      <c r="B3" s="513"/>
      <c r="C3" s="513"/>
      <c r="D3" s="513"/>
      <c r="E3" s="513"/>
      <c r="F3" s="514"/>
    </row>
    <row r="4" spans="1:6" ht="31.5">
      <c r="A4" s="110" t="s">
        <v>2</v>
      </c>
      <c r="B4" s="111" t="s">
        <v>3</v>
      </c>
      <c r="C4" s="111" t="s">
        <v>4</v>
      </c>
      <c r="D4" s="111" t="s">
        <v>5</v>
      </c>
      <c r="E4" s="110" t="s">
        <v>6</v>
      </c>
      <c r="F4" s="228" t="s">
        <v>7</v>
      </c>
    </row>
    <row r="5" spans="1:6" ht="15.75">
      <c r="A5" s="110">
        <f>[27]ESTIMATE!A4</f>
        <v>1</v>
      </c>
      <c r="B5" s="117" t="str">
        <f>[27]ESTIMATE!B4</f>
        <v>Labour for site clearence before and after the work etc.</v>
      </c>
      <c r="C5" s="114">
        <f>[27]ESTIMATE!G4</f>
        <v>2</v>
      </c>
      <c r="D5" s="115" t="s">
        <v>15</v>
      </c>
      <c r="E5" s="114">
        <f>[27]ESTIMATE!I4</f>
        <v>326.85000000000002</v>
      </c>
      <c r="F5" s="227">
        <f t="shared" ref="F5:F10" si="0">ROUND(C5*E5,2)</f>
        <v>653.70000000000005</v>
      </c>
    </row>
    <row r="6" spans="1:6" ht="90">
      <c r="A6" s="110" t="str">
        <f>[27]ESTIMATE!A5</f>
        <v>2       5.1.1.</v>
      </c>
      <c r="B6" s="117" t="s">
        <v>9</v>
      </c>
      <c r="C6" s="114">
        <f>[27]ESTIMATE!G8</f>
        <v>66.41</v>
      </c>
      <c r="D6" s="115" t="s">
        <v>15</v>
      </c>
      <c r="E6" s="114">
        <f>[27]ESTIMATE!I8</f>
        <v>151.82</v>
      </c>
      <c r="F6" s="227">
        <f t="shared" si="0"/>
        <v>10082.370000000001</v>
      </c>
    </row>
    <row r="7" spans="1:6" ht="90">
      <c r="A7" s="110" t="str">
        <f>[27]ESTIMATE!A9</f>
        <v>3.           M-004</v>
      </c>
      <c r="B7" s="117" t="s">
        <v>46</v>
      </c>
      <c r="C7" s="114">
        <f>[27]ESTIMATE!G12</f>
        <v>24.78</v>
      </c>
      <c r="D7" s="115" t="s">
        <v>15</v>
      </c>
      <c r="E7" s="114">
        <f>[27]ESTIMATE!I12</f>
        <v>347.85</v>
      </c>
      <c r="F7" s="227">
        <f t="shared" si="0"/>
        <v>8619.7199999999993</v>
      </c>
    </row>
    <row r="8" spans="1:6" ht="66.599999999999994" customHeight="1">
      <c r="A8" s="110" t="str">
        <f>[27]ESTIMATE!A13</f>
        <v>4.       5.6.8 (C.I.W.)</v>
      </c>
      <c r="B8" s="117" t="s">
        <v>48</v>
      </c>
      <c r="C8" s="114">
        <f>[27]ESTIMATE!G16</f>
        <v>41.63</v>
      </c>
      <c r="D8" s="115" t="s">
        <v>15</v>
      </c>
      <c r="E8" s="114">
        <f>[27]ESTIMATE!I16</f>
        <v>1756.4</v>
      </c>
      <c r="F8" s="227">
        <f t="shared" si="0"/>
        <v>73118.929999999993</v>
      </c>
    </row>
    <row r="9" spans="1:6" ht="65.099999999999994" customHeight="1">
      <c r="A9" s="110" t="str">
        <f>[27]ESTIMATE!A17</f>
        <v>5.     5.3.1.1</v>
      </c>
      <c r="B9" s="118" t="s">
        <v>68</v>
      </c>
      <c r="C9" s="114">
        <f>[27]ESTIMATE!G20</f>
        <v>49.56</v>
      </c>
      <c r="D9" s="115" t="s">
        <v>15</v>
      </c>
      <c r="E9" s="114">
        <f>[27]ESTIMATE!I20</f>
        <v>4961.7299999999996</v>
      </c>
      <c r="F9" s="227">
        <f t="shared" si="0"/>
        <v>245903.34</v>
      </c>
    </row>
    <row r="10" spans="1:6" ht="45.95" customHeight="1">
      <c r="A10" s="110" t="str">
        <f>[27]ESTIMATE!A21</f>
        <v>6               5.3.17.1</v>
      </c>
      <c r="B10" s="117" t="s">
        <v>57</v>
      </c>
      <c r="C10" s="114">
        <f>[27]ESTIMATE!G24</f>
        <v>32.53</v>
      </c>
      <c r="D10" s="119" t="s">
        <v>11</v>
      </c>
      <c r="E10" s="110">
        <f>[27]ESTIMATE!I24</f>
        <v>194.5</v>
      </c>
      <c r="F10" s="228">
        <f t="shared" si="0"/>
        <v>6327.09</v>
      </c>
    </row>
    <row r="11" spans="1:6" ht="15.75">
      <c r="A11" s="110">
        <f>[27]ESTIMATE!A25</f>
        <v>7</v>
      </c>
      <c r="B11" s="120" t="s">
        <v>12</v>
      </c>
      <c r="C11" s="115"/>
      <c r="D11" s="121"/>
      <c r="E11" s="122"/>
      <c r="F11" s="227"/>
    </row>
    <row r="12" spans="1:6" ht="15.75">
      <c r="A12" s="123" t="s">
        <v>13</v>
      </c>
      <c r="B12" s="124" t="str">
        <f>[27]ESTIMATE!B26</f>
        <v>SAND-LEAD-49KM</v>
      </c>
      <c r="C12" s="115">
        <f>PRODUCT('[27]MATERIAL '!F7)</f>
        <v>21.31</v>
      </c>
      <c r="D12" s="121" t="s">
        <v>15</v>
      </c>
      <c r="E12" s="1">
        <f>[27]ESTIMATE!I26</f>
        <v>848.82</v>
      </c>
      <c r="F12" s="227">
        <f t="shared" ref="F12:F16" si="1">ROUND(C12*E12,2)</f>
        <v>18088.349999999999</v>
      </c>
    </row>
    <row r="13" spans="1:6" ht="15.75">
      <c r="A13" s="123" t="s">
        <v>16</v>
      </c>
      <c r="B13" s="125" t="str">
        <f>[27]ESTIMATE!B27</f>
        <v>STONE DUST-LEAD-22KM</v>
      </c>
      <c r="C13" s="115">
        <f>PRODUCT('[27]MATERIAL '!G7)</f>
        <v>24.78</v>
      </c>
      <c r="D13" s="121" t="s">
        <v>15</v>
      </c>
      <c r="E13" s="34">
        <f>[27]ESTIMATE!I27</f>
        <v>477.38</v>
      </c>
      <c r="F13" s="227">
        <f t="shared" si="1"/>
        <v>11829.48</v>
      </c>
    </row>
    <row r="14" spans="1:6" ht="15.75">
      <c r="A14" s="123" t="s">
        <v>18</v>
      </c>
      <c r="B14" s="125" t="str">
        <f>[27]ESTIMATE!B28</f>
        <v>STONE CHIPS-LEAD-22KM</v>
      </c>
      <c r="C14" s="115">
        <f>PRODUCT('[27]MATERIAL '!H7)</f>
        <v>42.62</v>
      </c>
      <c r="D14" s="121" t="s">
        <v>15</v>
      </c>
      <c r="E14" s="34">
        <f>[27]ESTIMATE!I28</f>
        <v>477.38</v>
      </c>
      <c r="F14" s="227">
        <f t="shared" si="1"/>
        <v>20345.939999999999</v>
      </c>
    </row>
    <row r="15" spans="1:6" ht="15.75">
      <c r="A15" s="123" t="s">
        <v>20</v>
      </c>
      <c r="B15" s="125" t="str">
        <f>[27]ESTIMATE!B29</f>
        <v>BOULDER-LEAD-36KM</v>
      </c>
      <c r="C15" s="115">
        <f>PRODUCT('[27]MATERIAL '!I7)</f>
        <v>41.63</v>
      </c>
      <c r="D15" s="121" t="s">
        <v>15</v>
      </c>
      <c r="E15" s="1">
        <f>[27]ESTIMATE!I29</f>
        <v>679.66</v>
      </c>
      <c r="F15" s="227">
        <f t="shared" si="1"/>
        <v>28294.25</v>
      </c>
    </row>
    <row r="16" spans="1:6" ht="15.75">
      <c r="A16" s="123" t="s">
        <v>22</v>
      </c>
      <c r="B16" s="117" t="str">
        <f>[27]ESTIMATE!B30</f>
        <v>EARTH-LEAD-01km</v>
      </c>
      <c r="C16" s="115">
        <f>PRODUCT('[27]MATERIAL '!J7)</f>
        <v>66.41</v>
      </c>
      <c r="D16" s="121" t="s">
        <v>15</v>
      </c>
      <c r="E16" s="34">
        <f>[27]ESTIMATE!I30</f>
        <v>117.54</v>
      </c>
      <c r="F16" s="227">
        <f t="shared" si="1"/>
        <v>7805.83</v>
      </c>
    </row>
    <row r="17" spans="1:6" ht="15.75">
      <c r="A17" s="126"/>
      <c r="B17" s="126"/>
      <c r="C17" s="498" t="s">
        <v>24</v>
      </c>
      <c r="D17" s="498"/>
      <c r="E17" s="499"/>
      <c r="F17" s="227">
        <f>SUM(F5:F16)</f>
        <v>431069</v>
      </c>
    </row>
    <row r="18" spans="1:6" ht="15.75">
      <c r="A18" s="126"/>
      <c r="B18" s="126"/>
      <c r="C18" s="501" t="s">
        <v>25</v>
      </c>
      <c r="D18" s="498"/>
      <c r="E18" s="499"/>
      <c r="F18" s="227">
        <f>F17*18%</f>
        <v>77592.42</v>
      </c>
    </row>
    <row r="19" spans="1:6" ht="15.75">
      <c r="A19" s="126"/>
      <c r="B19" s="126"/>
      <c r="C19" s="501" t="s">
        <v>24</v>
      </c>
      <c r="D19" s="498"/>
      <c r="E19" s="499"/>
      <c r="F19" s="227">
        <f>SUM(F17:F18)</f>
        <v>508661.42</v>
      </c>
    </row>
    <row r="20" spans="1:6" ht="15.75">
      <c r="A20" s="126"/>
      <c r="B20" s="126"/>
      <c r="C20" s="498" t="s">
        <v>26</v>
      </c>
      <c r="D20" s="498"/>
      <c r="E20" s="499"/>
      <c r="F20" s="227">
        <f>ROUND(F19*0.01,2)</f>
        <v>5086.6099999999997</v>
      </c>
    </row>
    <row r="21" spans="1:6" ht="15.75">
      <c r="A21" s="126"/>
      <c r="B21" s="126"/>
      <c r="C21" s="498" t="s">
        <v>24</v>
      </c>
      <c r="D21" s="498"/>
      <c r="E21" s="499"/>
      <c r="F21" s="227">
        <f>SUM(F19:F20)</f>
        <v>513748.02999999997</v>
      </c>
    </row>
    <row r="22" spans="1:6" ht="18">
      <c r="A22" s="126"/>
      <c r="B22" s="126"/>
      <c r="C22" s="498" t="s">
        <v>27</v>
      </c>
      <c r="D22" s="498"/>
      <c r="E22" s="499"/>
      <c r="F22" s="229">
        <v>513748</v>
      </c>
    </row>
    <row r="23" spans="1:6" ht="18.75">
      <c r="A23" s="16"/>
      <c r="B23" s="16"/>
      <c r="C23" s="17"/>
      <c r="D23" s="17"/>
      <c r="E23" s="17"/>
      <c r="F23" s="18"/>
    </row>
    <row r="24" spans="1:6" ht="18.75">
      <c r="A24" s="16"/>
      <c r="B24" s="16"/>
      <c r="C24" s="17"/>
      <c r="D24" s="17"/>
      <c r="E24" s="17"/>
      <c r="F24" s="18"/>
    </row>
    <row r="25" spans="1:6">
      <c r="A25" s="19"/>
    </row>
    <row r="26" spans="1:6">
      <c r="A26" s="19"/>
    </row>
    <row r="27" spans="1:6" ht="18.75">
      <c r="A27" s="19"/>
      <c r="B27" s="21"/>
      <c r="C27" s="22"/>
      <c r="F27"/>
    </row>
    <row r="28" spans="1:6" ht="18.75">
      <c r="A28" s="19"/>
      <c r="B28" s="21"/>
      <c r="C28" s="22"/>
      <c r="F28"/>
    </row>
  </sheetData>
  <mergeCells count="9">
    <mergeCell ref="C20:E20"/>
    <mergeCell ref="C21:E21"/>
    <mergeCell ref="C22:E22"/>
    <mergeCell ref="A1:F1"/>
    <mergeCell ref="A2:F2"/>
    <mergeCell ref="A3:F3"/>
    <mergeCell ref="C17:E17"/>
    <mergeCell ref="C18:E18"/>
    <mergeCell ref="C19:E19"/>
  </mergeCells>
  <pageMargins left="0.7" right="0.7" top="0.75" bottom="0.75" header="0.3" footer="0.3"/>
</worksheet>
</file>

<file path=xl/worksheets/sheet29.xml><?xml version="1.0" encoding="utf-8"?>
<worksheet xmlns="http://schemas.openxmlformats.org/spreadsheetml/2006/main" xmlns:r="http://schemas.openxmlformats.org/officeDocument/2006/relationships">
  <dimension ref="A1:F28"/>
  <sheetViews>
    <sheetView workbookViewId="0">
      <selection activeCell="A3" sqref="A3:F3"/>
    </sheetView>
  </sheetViews>
  <sheetFormatPr defaultRowHeight="15"/>
  <cols>
    <col min="1" max="1" width="9" bestFit="1" customWidth="1"/>
    <col min="2" max="2" width="62.28515625" customWidth="1"/>
    <col min="3" max="3" width="9.7109375" bestFit="1" customWidth="1"/>
    <col min="4" max="4" width="7.5703125" customWidth="1"/>
    <col min="5" max="5" width="10.28515625" customWidth="1"/>
    <col min="6" max="6" width="17.28515625" style="20" bestFit="1" customWidth="1"/>
  </cols>
  <sheetData>
    <row r="1" spans="1:6" ht="23.25">
      <c r="A1" s="437" t="s">
        <v>0</v>
      </c>
      <c r="B1" s="438"/>
      <c r="C1" s="438"/>
      <c r="D1" s="438"/>
      <c r="E1" s="438"/>
      <c r="F1" s="439"/>
    </row>
    <row r="2" spans="1:6" ht="18" customHeight="1">
      <c r="A2" s="427" t="s">
        <v>1</v>
      </c>
      <c r="B2" s="428"/>
      <c r="C2" s="428"/>
      <c r="D2" s="428"/>
      <c r="E2" s="428"/>
      <c r="F2" s="429"/>
    </row>
    <row r="3" spans="1:6" ht="32.450000000000003" customHeight="1">
      <c r="A3" s="493" t="str">
        <f>[28]ESTIMATE!A2</f>
        <v>Name of Work :-CONSTRUCTION OF PCC ROAD AT( A) ILHI NAGAR HOUSE F MUSKIM JEE TO EMMAM BARA  (B)  HOUSE OF ABHALEA JEE TO HOUSE OF RAWANI JEE UNDER WARD NO-35</v>
      </c>
      <c r="B3" s="494"/>
      <c r="C3" s="494"/>
      <c r="D3" s="494"/>
      <c r="E3" s="494"/>
      <c r="F3" s="495"/>
    </row>
    <row r="4" spans="1:6" ht="31.5">
      <c r="A4" s="110" t="s">
        <v>2</v>
      </c>
      <c r="B4" s="111" t="s">
        <v>3</v>
      </c>
      <c r="C4" s="111" t="s">
        <v>4</v>
      </c>
      <c r="D4" s="111" t="s">
        <v>5</v>
      </c>
      <c r="E4" s="110" t="s">
        <v>6</v>
      </c>
      <c r="F4" s="112" t="s">
        <v>7</v>
      </c>
    </row>
    <row r="5" spans="1:6" ht="15.75">
      <c r="A5" s="110">
        <f>[28]ESTIMATE!A4</f>
        <v>1</v>
      </c>
      <c r="B5" s="117" t="str">
        <f>[28]ESTIMATE!B4</f>
        <v>Labour for site clearence before and after the work etc.</v>
      </c>
      <c r="C5" s="114">
        <f>[28]ESTIMATE!G4</f>
        <v>4</v>
      </c>
      <c r="D5" s="115" t="s">
        <v>15</v>
      </c>
      <c r="E5" s="114">
        <f>[28]ESTIMATE!I4</f>
        <v>326.85000000000002</v>
      </c>
      <c r="F5" s="227">
        <f t="shared" ref="F5:F10" si="0">ROUND(C5*E5,2)</f>
        <v>1307.4000000000001</v>
      </c>
    </row>
    <row r="6" spans="1:6" ht="90">
      <c r="A6" s="110" t="str">
        <f>[28]ESTIMATE!A5</f>
        <v>2       5.1.1.</v>
      </c>
      <c r="B6" s="117" t="s">
        <v>9</v>
      </c>
      <c r="C6" s="114">
        <f>[28]ESTIMATE!G8</f>
        <v>75.900000000000006</v>
      </c>
      <c r="D6" s="115" t="s">
        <v>15</v>
      </c>
      <c r="E6" s="114">
        <f>[28]ESTIMATE!I8</f>
        <v>151.82</v>
      </c>
      <c r="F6" s="227">
        <f t="shared" si="0"/>
        <v>11523.14</v>
      </c>
    </row>
    <row r="7" spans="1:6" ht="90">
      <c r="A7" s="110" t="str">
        <f>[28]ESTIMATE!A9</f>
        <v>3.           M-004</v>
      </c>
      <c r="B7" s="117" t="s">
        <v>46</v>
      </c>
      <c r="C7" s="114">
        <f>[28]ESTIMATE!G12</f>
        <v>28.32</v>
      </c>
      <c r="D7" s="115" t="s">
        <v>15</v>
      </c>
      <c r="E7" s="114">
        <f>[28]ESTIMATE!I12</f>
        <v>347.85</v>
      </c>
      <c r="F7" s="227">
        <f t="shared" si="0"/>
        <v>9851.11</v>
      </c>
    </row>
    <row r="8" spans="1:6" ht="66.599999999999994" customHeight="1">
      <c r="A8" s="110" t="str">
        <f>[28]ESTIMATE!A13</f>
        <v>4.       5.6.8 (C.I.W.)</v>
      </c>
      <c r="B8" s="117" t="s">
        <v>48</v>
      </c>
      <c r="C8" s="114">
        <f>[28]ESTIMATE!G16</f>
        <v>47.58</v>
      </c>
      <c r="D8" s="115" t="s">
        <v>15</v>
      </c>
      <c r="E8" s="114">
        <f>[28]ESTIMATE!I16</f>
        <v>1756.4</v>
      </c>
      <c r="F8" s="227">
        <f t="shared" si="0"/>
        <v>83569.509999999995</v>
      </c>
    </row>
    <row r="9" spans="1:6" ht="65.099999999999994" customHeight="1">
      <c r="A9" s="110" t="str">
        <f>[28]ESTIMATE!A17</f>
        <v>5.     5.3.1.1</v>
      </c>
      <c r="B9" s="118" t="s">
        <v>68</v>
      </c>
      <c r="C9" s="114">
        <f>[28]ESTIMATE!G20</f>
        <v>56.64</v>
      </c>
      <c r="D9" s="115" t="s">
        <v>15</v>
      </c>
      <c r="E9" s="114">
        <f>[28]ESTIMATE!I20</f>
        <v>4961.7299999999996</v>
      </c>
      <c r="F9" s="227">
        <f t="shared" si="0"/>
        <v>281032.39</v>
      </c>
    </row>
    <row r="10" spans="1:6" ht="45.95" customHeight="1">
      <c r="A10" s="110" t="str">
        <f>[28]ESTIMATE!A21</f>
        <v>6               5.3.17.1</v>
      </c>
      <c r="B10" s="117" t="s">
        <v>57</v>
      </c>
      <c r="C10" s="114">
        <f>[28]ESTIMATE!G24</f>
        <v>37.17</v>
      </c>
      <c r="D10" s="119" t="s">
        <v>11</v>
      </c>
      <c r="E10" s="110">
        <f>[28]ESTIMATE!I24</f>
        <v>194.5</v>
      </c>
      <c r="F10" s="228">
        <f t="shared" si="0"/>
        <v>7229.57</v>
      </c>
    </row>
    <row r="11" spans="1:6" ht="15.75">
      <c r="A11" s="110">
        <f>[28]ESTIMATE!A25</f>
        <v>7</v>
      </c>
      <c r="B11" s="120" t="s">
        <v>12</v>
      </c>
      <c r="C11" s="115"/>
      <c r="D11" s="121"/>
      <c r="E11" s="122"/>
      <c r="F11" s="227"/>
    </row>
    <row r="12" spans="1:6" ht="15.75">
      <c r="A12" s="123" t="s">
        <v>13</v>
      </c>
      <c r="B12" s="124" t="str">
        <f>[28]ESTIMATE!B26</f>
        <v>SAND-LEAD-49KM</v>
      </c>
      <c r="C12" s="115">
        <f>PRODUCT('[28]MATERIAL '!F7)</f>
        <v>24.36</v>
      </c>
      <c r="D12" s="121" t="s">
        <v>15</v>
      </c>
      <c r="E12" s="1">
        <f>[28]ESTIMATE!I26</f>
        <v>848.82</v>
      </c>
      <c r="F12" s="227">
        <f t="shared" ref="F12:F16" si="1">ROUND(C12*E12,2)</f>
        <v>20677.259999999998</v>
      </c>
    </row>
    <row r="13" spans="1:6" ht="15.75">
      <c r="A13" s="123" t="s">
        <v>16</v>
      </c>
      <c r="B13" s="125" t="str">
        <f>[28]ESTIMATE!B27</f>
        <v>STONE DUST-LEAD-22KM</v>
      </c>
      <c r="C13" s="115">
        <f>PRODUCT('[28]MATERIAL '!G7)</f>
        <v>28.32</v>
      </c>
      <c r="D13" s="121" t="s">
        <v>15</v>
      </c>
      <c r="E13" s="34">
        <f>[28]ESTIMATE!I27</f>
        <v>477.38</v>
      </c>
      <c r="F13" s="227">
        <f t="shared" si="1"/>
        <v>13519.4</v>
      </c>
    </row>
    <row r="14" spans="1:6" ht="15.75">
      <c r="A14" s="123" t="s">
        <v>18</v>
      </c>
      <c r="B14" s="125" t="str">
        <f>[28]ESTIMATE!B28</f>
        <v>STONE CHIPS-LEAD-22KM</v>
      </c>
      <c r="C14" s="115">
        <f>PRODUCT('[28]MATERIAL '!H7)</f>
        <v>48.71</v>
      </c>
      <c r="D14" s="121" t="s">
        <v>15</v>
      </c>
      <c r="E14" s="34">
        <f>[28]ESTIMATE!I28</f>
        <v>477.38</v>
      </c>
      <c r="F14" s="227">
        <f t="shared" si="1"/>
        <v>23253.18</v>
      </c>
    </row>
    <row r="15" spans="1:6" ht="15.75">
      <c r="A15" s="123" t="s">
        <v>20</v>
      </c>
      <c r="B15" s="125" t="str">
        <f>[28]ESTIMATE!B29</f>
        <v>BOULDER-LEAD-36KM</v>
      </c>
      <c r="C15" s="115">
        <f>PRODUCT('[28]MATERIAL '!I7)</f>
        <v>47.58</v>
      </c>
      <c r="D15" s="121" t="s">
        <v>15</v>
      </c>
      <c r="E15" s="1">
        <f>[28]ESTIMATE!I29</f>
        <v>679.66</v>
      </c>
      <c r="F15" s="227">
        <f t="shared" si="1"/>
        <v>32338.22</v>
      </c>
    </row>
    <row r="16" spans="1:6" ht="15.75">
      <c r="A16" s="123" t="s">
        <v>22</v>
      </c>
      <c r="B16" s="117" t="str">
        <f>[28]ESTIMATE!B30</f>
        <v>EARTH-LEAD-01km</v>
      </c>
      <c r="C16" s="115">
        <f>PRODUCT('[28]MATERIAL '!J7)</f>
        <v>75.900000000000006</v>
      </c>
      <c r="D16" s="121" t="s">
        <v>15</v>
      </c>
      <c r="E16" s="34">
        <f>[28]ESTIMATE!I30</f>
        <v>117.54</v>
      </c>
      <c r="F16" s="227">
        <f t="shared" si="1"/>
        <v>8921.2900000000009</v>
      </c>
    </row>
    <row r="17" spans="1:6" ht="15.75">
      <c r="A17" s="126"/>
      <c r="B17" s="126"/>
      <c r="C17" s="498" t="s">
        <v>24</v>
      </c>
      <c r="D17" s="498"/>
      <c r="E17" s="499"/>
      <c r="F17" s="227">
        <f>SUM(F5:F16)</f>
        <v>493222.47000000003</v>
      </c>
    </row>
    <row r="18" spans="1:6" ht="15.75">
      <c r="A18" s="126"/>
      <c r="B18" s="126"/>
      <c r="C18" s="501" t="s">
        <v>25</v>
      </c>
      <c r="D18" s="498"/>
      <c r="E18" s="499"/>
      <c r="F18" s="114">
        <f>F17*18%</f>
        <v>88780.044600000008</v>
      </c>
    </row>
    <row r="19" spans="1:6" ht="15.75">
      <c r="A19" s="126"/>
      <c r="B19" s="126"/>
      <c r="C19" s="501" t="s">
        <v>24</v>
      </c>
      <c r="D19" s="498"/>
      <c r="E19" s="499"/>
      <c r="F19" s="114">
        <f>SUM(F17:F18)</f>
        <v>582002.51459999999</v>
      </c>
    </row>
    <row r="20" spans="1:6" ht="15.75">
      <c r="A20" s="126"/>
      <c r="B20" s="126"/>
      <c r="C20" s="498" t="s">
        <v>26</v>
      </c>
      <c r="D20" s="498"/>
      <c r="E20" s="499"/>
      <c r="F20" s="227">
        <f>ROUND(F19*0.01,2)</f>
        <v>5820.03</v>
      </c>
    </row>
    <row r="21" spans="1:6" ht="15.75">
      <c r="A21" s="126"/>
      <c r="B21" s="126"/>
      <c r="C21" s="498" t="s">
        <v>24</v>
      </c>
      <c r="D21" s="498"/>
      <c r="E21" s="499"/>
      <c r="F21" s="114">
        <f>SUM(F19:F20)</f>
        <v>587822.54460000002</v>
      </c>
    </row>
    <row r="22" spans="1:6" ht="18">
      <c r="A22" s="126"/>
      <c r="B22" s="126"/>
      <c r="C22" s="498" t="s">
        <v>27</v>
      </c>
      <c r="D22" s="498"/>
      <c r="E22" s="499"/>
      <c r="F22" s="229">
        <v>587823</v>
      </c>
    </row>
    <row r="23" spans="1:6" ht="18.75">
      <c r="A23" s="16"/>
      <c r="B23" s="16"/>
      <c r="C23" s="17"/>
      <c r="D23" s="17"/>
      <c r="E23" s="17"/>
      <c r="F23" s="18"/>
    </row>
    <row r="24" spans="1:6" ht="18.75">
      <c r="A24" s="16"/>
      <c r="B24" s="16"/>
      <c r="C24" s="17"/>
      <c r="D24" s="17"/>
      <c r="E24" s="17"/>
      <c r="F24" s="18"/>
    </row>
    <row r="25" spans="1:6">
      <c r="A25" s="19"/>
    </row>
    <row r="26" spans="1:6">
      <c r="A26" s="19"/>
    </row>
    <row r="27" spans="1:6">
      <c r="F27"/>
    </row>
    <row r="28" spans="1:6">
      <c r="F28"/>
    </row>
  </sheetData>
  <mergeCells count="9">
    <mergeCell ref="C20:E20"/>
    <mergeCell ref="C21:E21"/>
    <mergeCell ref="C22:E22"/>
    <mergeCell ref="A1:F1"/>
    <mergeCell ref="A2:F2"/>
    <mergeCell ref="A3:F3"/>
    <mergeCell ref="C17:E17"/>
    <mergeCell ref="C18:E18"/>
    <mergeCell ref="C19:E19"/>
  </mergeCells>
  <pageMargins left="0.7" right="0.7" top="0.75" bottom="0.75" header="0.3" footer="0.3"/>
</worksheet>
</file>

<file path=xl/worksheets/sheet30.xml><?xml version="1.0" encoding="utf-8"?>
<worksheet xmlns="http://schemas.openxmlformats.org/spreadsheetml/2006/main" xmlns:r="http://schemas.openxmlformats.org/officeDocument/2006/relationships">
  <dimension ref="A1:F28"/>
  <sheetViews>
    <sheetView workbookViewId="0">
      <selection activeCell="A3" sqref="A3:F3"/>
    </sheetView>
  </sheetViews>
  <sheetFormatPr defaultRowHeight="15"/>
  <cols>
    <col min="1" max="1" width="9" bestFit="1" customWidth="1"/>
    <col min="2" max="2" width="62.28515625" customWidth="1"/>
    <col min="3" max="3" width="9.7109375" bestFit="1" customWidth="1"/>
    <col min="4" max="4" width="7.5703125" customWidth="1"/>
    <col min="5" max="5" width="10.140625" customWidth="1"/>
    <col min="6" max="6" width="17.28515625" style="20" bestFit="1" customWidth="1"/>
  </cols>
  <sheetData>
    <row r="1" spans="1:6" ht="23.25">
      <c r="A1" s="437" t="s">
        <v>0</v>
      </c>
      <c r="B1" s="438"/>
      <c r="C1" s="438"/>
      <c r="D1" s="438"/>
      <c r="E1" s="438"/>
      <c r="F1" s="439"/>
    </row>
    <row r="2" spans="1:6" ht="18" customHeight="1">
      <c r="A2" s="427" t="s">
        <v>1</v>
      </c>
      <c r="B2" s="428"/>
      <c r="C2" s="428"/>
      <c r="D2" s="428"/>
      <c r="E2" s="428"/>
      <c r="F2" s="429"/>
    </row>
    <row r="3" spans="1:6" ht="32.450000000000003" customHeight="1">
      <c r="A3" s="493" t="str">
        <f>[29]ESTIMATE!A2</f>
        <v>Name of Work :-CONSTRUCTION OF PCC ROAD AT NEW ARIA PIPER TOLI HOSE OF BIMAL TOPPO TO HOUSE OF BIJENDAR BARMAN UNDER WARD NO-35</v>
      </c>
      <c r="B3" s="494"/>
      <c r="C3" s="494"/>
      <c r="D3" s="494"/>
      <c r="E3" s="494"/>
      <c r="F3" s="495"/>
    </row>
    <row r="4" spans="1:6" ht="31.5">
      <c r="A4" s="110" t="s">
        <v>2</v>
      </c>
      <c r="B4" s="111" t="s">
        <v>3</v>
      </c>
      <c r="C4" s="111" t="s">
        <v>4</v>
      </c>
      <c r="D4" s="111" t="s">
        <v>5</v>
      </c>
      <c r="E4" s="110" t="s">
        <v>6</v>
      </c>
      <c r="F4" s="112" t="s">
        <v>7</v>
      </c>
    </row>
    <row r="5" spans="1:6" ht="15.75">
      <c r="A5" s="110">
        <f>[29]ESTIMATE!A4</f>
        <v>1</v>
      </c>
      <c r="B5" s="117" t="str">
        <f>[29]ESTIMATE!B4</f>
        <v>Labour for site clearence before and after the work etc.</v>
      </c>
      <c r="C5" s="114">
        <f>[29]ESTIMATE!G4</f>
        <v>3</v>
      </c>
      <c r="D5" s="115" t="s">
        <v>15</v>
      </c>
      <c r="E5" s="114">
        <f>[29]ESTIMATE!I4</f>
        <v>326.85000000000002</v>
      </c>
      <c r="F5" s="227">
        <f t="shared" ref="F5:F10" si="0">ROUND(C5*E5,2)</f>
        <v>980.55</v>
      </c>
    </row>
    <row r="6" spans="1:6" ht="90">
      <c r="A6" s="110" t="str">
        <f>[29]ESTIMATE!A5</f>
        <v>2       5.1.1.</v>
      </c>
      <c r="B6" s="117" t="s">
        <v>9</v>
      </c>
      <c r="C6" s="114">
        <f>[29]ESTIMATE!G8</f>
        <v>47.44</v>
      </c>
      <c r="D6" s="115" t="s">
        <v>15</v>
      </c>
      <c r="E6" s="114">
        <f>[29]ESTIMATE!I8</f>
        <v>151.82</v>
      </c>
      <c r="F6" s="227">
        <f t="shared" si="0"/>
        <v>7202.34</v>
      </c>
    </row>
    <row r="7" spans="1:6" ht="90">
      <c r="A7" s="110" t="str">
        <f>[29]ESTIMATE!A9</f>
        <v>3.           M-004</v>
      </c>
      <c r="B7" s="117" t="s">
        <v>46</v>
      </c>
      <c r="C7" s="114">
        <f>[29]ESTIMATE!G12</f>
        <v>17.7</v>
      </c>
      <c r="D7" s="115" t="s">
        <v>15</v>
      </c>
      <c r="E7" s="114">
        <f>[29]ESTIMATE!I12</f>
        <v>347.85</v>
      </c>
      <c r="F7" s="227">
        <f t="shared" si="0"/>
        <v>6156.95</v>
      </c>
    </row>
    <row r="8" spans="1:6" ht="66.599999999999994" customHeight="1">
      <c r="A8" s="110" t="str">
        <f>[29]ESTIMATE!A13</f>
        <v>4.       5.6.8 (C.I.W.)</v>
      </c>
      <c r="B8" s="117" t="s">
        <v>48</v>
      </c>
      <c r="C8" s="114">
        <f>[29]ESTIMATE!G16</f>
        <v>29.74</v>
      </c>
      <c r="D8" s="115" t="s">
        <v>15</v>
      </c>
      <c r="E8" s="114">
        <f>[29]ESTIMATE!I16</f>
        <v>1756.4</v>
      </c>
      <c r="F8" s="227">
        <f t="shared" si="0"/>
        <v>52235.34</v>
      </c>
    </row>
    <row r="9" spans="1:6" ht="65.099999999999994" customHeight="1">
      <c r="A9" s="110" t="str">
        <f>[29]ESTIMATE!A17</f>
        <v>5.     5.3.1.1</v>
      </c>
      <c r="B9" s="118" t="s">
        <v>68</v>
      </c>
      <c r="C9" s="114">
        <f>[29]ESTIMATE!G20</f>
        <v>35.4</v>
      </c>
      <c r="D9" s="115" t="s">
        <v>15</v>
      </c>
      <c r="E9" s="114">
        <f>[29]ESTIMATE!I20</f>
        <v>4961.7299999999996</v>
      </c>
      <c r="F9" s="227">
        <f t="shared" si="0"/>
        <v>175645.24</v>
      </c>
    </row>
    <row r="10" spans="1:6" ht="45.95" customHeight="1">
      <c r="A10" s="110" t="str">
        <f>[29]ESTIMATE!A21</f>
        <v>6               5.3.17.1</v>
      </c>
      <c r="B10" s="117" t="s">
        <v>57</v>
      </c>
      <c r="C10" s="114">
        <f>[29]ESTIMATE!G24</f>
        <v>23.23</v>
      </c>
      <c r="D10" s="119" t="s">
        <v>11</v>
      </c>
      <c r="E10" s="110">
        <f>[29]ESTIMATE!I24</f>
        <v>194.5</v>
      </c>
      <c r="F10" s="228">
        <f t="shared" si="0"/>
        <v>4518.24</v>
      </c>
    </row>
    <row r="11" spans="1:6" ht="15.75">
      <c r="A11" s="110">
        <f>[29]ESTIMATE!A25</f>
        <v>7</v>
      </c>
      <c r="B11" s="120" t="s">
        <v>12</v>
      </c>
      <c r="C11" s="115"/>
      <c r="D11" s="121"/>
      <c r="E11" s="122"/>
      <c r="F11" s="227"/>
    </row>
    <row r="12" spans="1:6" ht="15.75">
      <c r="A12" s="123" t="s">
        <v>13</v>
      </c>
      <c r="B12" s="124" t="str">
        <f>[29]ESTIMATE!B26</f>
        <v>SAND-LEAD-49KM</v>
      </c>
      <c r="C12" s="115">
        <f>PRODUCT('[29]MATERIAL '!F7)</f>
        <v>15.22</v>
      </c>
      <c r="D12" s="121" t="s">
        <v>15</v>
      </c>
      <c r="E12" s="1">
        <f>[29]ESTIMATE!I26</f>
        <v>848.82</v>
      </c>
      <c r="F12" s="227">
        <f t="shared" ref="F12:F16" si="1">ROUND(C12*E12,2)</f>
        <v>12919.04</v>
      </c>
    </row>
    <row r="13" spans="1:6" ht="15.75">
      <c r="A13" s="123" t="s">
        <v>16</v>
      </c>
      <c r="B13" s="125" t="str">
        <f>[29]ESTIMATE!B27</f>
        <v>STONE DUST-LEAD-22KM</v>
      </c>
      <c r="C13" s="115">
        <f>PRODUCT('[29]MATERIAL '!G7)</f>
        <v>17.7</v>
      </c>
      <c r="D13" s="121" t="s">
        <v>15</v>
      </c>
      <c r="E13" s="34">
        <f>[29]ESTIMATE!I27</f>
        <v>477.38</v>
      </c>
      <c r="F13" s="227">
        <f t="shared" si="1"/>
        <v>8449.6299999999992</v>
      </c>
    </row>
    <row r="14" spans="1:6" ht="15.75">
      <c r="A14" s="123" t="s">
        <v>18</v>
      </c>
      <c r="B14" s="125" t="str">
        <f>[29]ESTIMATE!B28</f>
        <v>STONE CHIPS-LEAD-22KM</v>
      </c>
      <c r="C14" s="115">
        <f>PRODUCT('[29]MATERIAL '!H7)</f>
        <v>30.44</v>
      </c>
      <c r="D14" s="121" t="s">
        <v>15</v>
      </c>
      <c r="E14" s="34">
        <f>[29]ESTIMATE!I28</f>
        <v>477.38</v>
      </c>
      <c r="F14" s="227">
        <f t="shared" si="1"/>
        <v>14531.45</v>
      </c>
    </row>
    <row r="15" spans="1:6" ht="15.75">
      <c r="A15" s="123" t="s">
        <v>20</v>
      </c>
      <c r="B15" s="125" t="str">
        <f>[29]ESTIMATE!B29</f>
        <v>BOULDER-LEAD-36KM</v>
      </c>
      <c r="C15" s="115">
        <f>PRODUCT('[29]MATERIAL '!I7)</f>
        <v>29.74</v>
      </c>
      <c r="D15" s="121" t="s">
        <v>15</v>
      </c>
      <c r="E15" s="1">
        <f>[29]ESTIMATE!I29</f>
        <v>679.66</v>
      </c>
      <c r="F15" s="227">
        <f t="shared" si="1"/>
        <v>20213.09</v>
      </c>
    </row>
    <row r="16" spans="1:6" ht="15.75">
      <c r="A16" s="123" t="s">
        <v>22</v>
      </c>
      <c r="B16" s="117" t="str">
        <f>[29]ESTIMATE!B30</f>
        <v>EARTH-LEAD-01km</v>
      </c>
      <c r="C16" s="115">
        <f>PRODUCT('[29]MATERIAL '!J7)</f>
        <v>47.44</v>
      </c>
      <c r="D16" s="121" t="s">
        <v>15</v>
      </c>
      <c r="E16" s="34">
        <f>[29]ESTIMATE!I30</f>
        <v>117.54</v>
      </c>
      <c r="F16" s="227">
        <f t="shared" si="1"/>
        <v>5576.1</v>
      </c>
    </row>
    <row r="17" spans="1:6" ht="15.75">
      <c r="A17" s="126"/>
      <c r="B17" s="126"/>
      <c r="C17" s="498" t="s">
        <v>24</v>
      </c>
      <c r="D17" s="498"/>
      <c r="E17" s="499"/>
      <c r="F17" s="227">
        <f>SUM(F5:F16)</f>
        <v>308427.96999999997</v>
      </c>
    </row>
    <row r="18" spans="1:6" ht="15.75">
      <c r="A18" s="126"/>
      <c r="B18" s="126"/>
      <c r="C18" s="501" t="s">
        <v>25</v>
      </c>
      <c r="D18" s="498"/>
      <c r="E18" s="499"/>
      <c r="F18" s="114">
        <f>F17*18%</f>
        <v>55517.034599999992</v>
      </c>
    </row>
    <row r="19" spans="1:6" ht="15.75">
      <c r="A19" s="126"/>
      <c r="B19" s="126"/>
      <c r="C19" s="501" t="s">
        <v>24</v>
      </c>
      <c r="D19" s="498"/>
      <c r="E19" s="499"/>
      <c r="F19" s="114">
        <f>SUM(F17:F18)</f>
        <v>363945.00459999999</v>
      </c>
    </row>
    <row r="20" spans="1:6" ht="15.75">
      <c r="A20" s="126"/>
      <c r="B20" s="126"/>
      <c r="C20" s="498" t="s">
        <v>26</v>
      </c>
      <c r="D20" s="498"/>
      <c r="E20" s="499"/>
      <c r="F20" s="227">
        <f>ROUND(F19*0.01,2)</f>
        <v>3639.45</v>
      </c>
    </row>
    <row r="21" spans="1:6" ht="15.75">
      <c r="A21" s="126"/>
      <c r="B21" s="126"/>
      <c r="C21" s="498" t="s">
        <v>24</v>
      </c>
      <c r="D21" s="498"/>
      <c r="E21" s="499"/>
      <c r="F21" s="114">
        <f>SUM(F19:F20)</f>
        <v>367584.4546</v>
      </c>
    </row>
    <row r="22" spans="1:6" ht="18">
      <c r="A22" s="126"/>
      <c r="B22" s="126"/>
      <c r="C22" s="498" t="s">
        <v>27</v>
      </c>
      <c r="D22" s="498"/>
      <c r="E22" s="499"/>
      <c r="F22" s="229">
        <v>367584</v>
      </c>
    </row>
    <row r="23" spans="1:6" ht="18.75">
      <c r="A23" s="16"/>
      <c r="B23" s="16"/>
      <c r="C23" s="17"/>
      <c r="D23" s="17"/>
      <c r="E23" s="17"/>
      <c r="F23" s="18"/>
    </row>
    <row r="24" spans="1:6" ht="18.75">
      <c r="A24" s="16"/>
      <c r="B24" s="16"/>
      <c r="C24" s="17"/>
      <c r="D24" s="17"/>
      <c r="E24" s="17"/>
      <c r="F24" s="18"/>
    </row>
    <row r="25" spans="1:6">
      <c r="A25" s="19"/>
    </row>
    <row r="26" spans="1:6">
      <c r="A26" s="19"/>
    </row>
    <row r="27" spans="1:6">
      <c r="A27" s="19"/>
      <c r="F27"/>
    </row>
    <row r="28" spans="1:6">
      <c r="A28" s="19"/>
      <c r="F28"/>
    </row>
  </sheetData>
  <mergeCells count="9">
    <mergeCell ref="C20:E20"/>
    <mergeCell ref="C21:E21"/>
    <mergeCell ref="C22:E22"/>
    <mergeCell ref="A1:F1"/>
    <mergeCell ref="A2:F2"/>
    <mergeCell ref="A3:F3"/>
    <mergeCell ref="C17:E17"/>
    <mergeCell ref="C18:E18"/>
    <mergeCell ref="C19:E19"/>
  </mergeCells>
  <pageMargins left="0.7" right="0.7" top="0.75" bottom="0.75" header="0.3" footer="0.3"/>
</worksheet>
</file>

<file path=xl/worksheets/sheet31.xml><?xml version="1.0" encoding="utf-8"?>
<worksheet xmlns="http://schemas.openxmlformats.org/spreadsheetml/2006/main" xmlns:r="http://schemas.openxmlformats.org/officeDocument/2006/relationships">
  <dimension ref="A1:F28"/>
  <sheetViews>
    <sheetView workbookViewId="0">
      <selection activeCell="A3" sqref="A3:F3"/>
    </sheetView>
  </sheetViews>
  <sheetFormatPr defaultRowHeight="15"/>
  <cols>
    <col min="1" max="1" width="9" bestFit="1" customWidth="1"/>
    <col min="2" max="2" width="62.28515625" customWidth="1"/>
    <col min="3" max="3" width="9.7109375" bestFit="1" customWidth="1"/>
    <col min="4" max="4" width="8.28515625" customWidth="1"/>
    <col min="5" max="5" width="9.28515625" customWidth="1"/>
    <col min="6" max="6" width="17.28515625" style="20" bestFit="1" customWidth="1"/>
  </cols>
  <sheetData>
    <row r="1" spans="1:6" ht="23.25">
      <c r="A1" s="437" t="s">
        <v>0</v>
      </c>
      <c r="B1" s="438"/>
      <c r="C1" s="438"/>
      <c r="D1" s="438"/>
      <c r="E1" s="438"/>
      <c r="F1" s="439"/>
    </row>
    <row r="2" spans="1:6" ht="18" customHeight="1">
      <c r="A2" s="427" t="s">
        <v>1</v>
      </c>
      <c r="B2" s="428"/>
      <c r="C2" s="428"/>
      <c r="D2" s="428"/>
      <c r="E2" s="428"/>
      <c r="F2" s="429"/>
    </row>
    <row r="3" spans="1:6" ht="32.450000000000003" customHeight="1">
      <c r="A3" s="493" t="str">
        <f>[30]ESTIMATE!A2</f>
        <v>Name of Work :-CONSTRUCTION OF PCC ROAD AT BAZRA JHIRGI TOLI FROM AKHARA TO GOGA ORAON HOUSE UNDER WARD NO-35</v>
      </c>
      <c r="B3" s="494"/>
      <c r="C3" s="494"/>
      <c r="D3" s="494"/>
      <c r="E3" s="494"/>
      <c r="F3" s="495"/>
    </row>
    <row r="4" spans="1:6" ht="31.5">
      <c r="A4" s="110" t="s">
        <v>2</v>
      </c>
      <c r="B4" s="111" t="s">
        <v>3</v>
      </c>
      <c r="C4" s="111" t="s">
        <v>4</v>
      </c>
      <c r="D4" s="111" t="s">
        <v>5</v>
      </c>
      <c r="E4" s="110" t="s">
        <v>6</v>
      </c>
      <c r="F4" s="112" t="s">
        <v>7</v>
      </c>
    </row>
    <row r="5" spans="1:6" ht="15.75">
      <c r="A5" s="110">
        <f>[30]ESTIMATE!A4</f>
        <v>1</v>
      </c>
      <c r="B5" s="117" t="str">
        <f>[30]ESTIMATE!B4</f>
        <v>Labour for site clearence before and after the work etc.</v>
      </c>
      <c r="C5" s="114">
        <f>[30]ESTIMATE!G4</f>
        <v>4</v>
      </c>
      <c r="D5" s="115" t="s">
        <v>15</v>
      </c>
      <c r="E5" s="114">
        <f>[30]ESTIMATE!I4</f>
        <v>326.85000000000002</v>
      </c>
      <c r="F5" s="227">
        <f t="shared" ref="F5:F10" si="0">ROUND(C5*E5,2)</f>
        <v>1307.4000000000001</v>
      </c>
    </row>
    <row r="6" spans="1:6" ht="90">
      <c r="A6" s="110" t="str">
        <f>[30]ESTIMATE!A5</f>
        <v>2       5.1.1.</v>
      </c>
      <c r="B6" s="117" t="s">
        <v>9</v>
      </c>
      <c r="C6" s="114">
        <f>[30]ESTIMATE!G8</f>
        <v>75.900000000000006</v>
      </c>
      <c r="D6" s="115" t="s">
        <v>15</v>
      </c>
      <c r="E6" s="114">
        <f>[30]ESTIMATE!I8</f>
        <v>151.82</v>
      </c>
      <c r="F6" s="227">
        <f t="shared" si="0"/>
        <v>11523.14</v>
      </c>
    </row>
    <row r="7" spans="1:6" ht="90">
      <c r="A7" s="110" t="str">
        <f>[30]ESTIMATE!A9</f>
        <v>3.           M-004</v>
      </c>
      <c r="B7" s="117" t="s">
        <v>46</v>
      </c>
      <c r="C7" s="114">
        <f>[30]ESTIMATE!G12</f>
        <v>28.32</v>
      </c>
      <c r="D7" s="115" t="s">
        <v>15</v>
      </c>
      <c r="E7" s="114">
        <f>[30]ESTIMATE!I12</f>
        <v>347.85</v>
      </c>
      <c r="F7" s="227">
        <f t="shared" si="0"/>
        <v>9851.11</v>
      </c>
    </row>
    <row r="8" spans="1:6" ht="66.599999999999994" customHeight="1">
      <c r="A8" s="110" t="str">
        <f>[30]ESTIMATE!A13</f>
        <v>4.       5.6.8 (C.I.W.)</v>
      </c>
      <c r="B8" s="117" t="s">
        <v>48</v>
      </c>
      <c r="C8" s="114">
        <f>[30]ESTIMATE!G16</f>
        <v>47.58</v>
      </c>
      <c r="D8" s="115" t="s">
        <v>15</v>
      </c>
      <c r="E8" s="114">
        <f>[30]ESTIMATE!I16</f>
        <v>1756.4</v>
      </c>
      <c r="F8" s="227">
        <f t="shared" si="0"/>
        <v>83569.509999999995</v>
      </c>
    </row>
    <row r="9" spans="1:6" ht="65.099999999999994" customHeight="1">
      <c r="A9" s="110" t="str">
        <f>[30]ESTIMATE!A17</f>
        <v>5.     5.3.1.1</v>
      </c>
      <c r="B9" s="118" t="s">
        <v>68</v>
      </c>
      <c r="C9" s="114">
        <f>[30]ESTIMATE!G20</f>
        <v>56.64</v>
      </c>
      <c r="D9" s="115" t="s">
        <v>15</v>
      </c>
      <c r="E9" s="114">
        <f>[30]ESTIMATE!I20</f>
        <v>4961.7299999999996</v>
      </c>
      <c r="F9" s="227">
        <f t="shared" si="0"/>
        <v>281032.39</v>
      </c>
    </row>
    <row r="10" spans="1:6" ht="45.95" customHeight="1">
      <c r="A10" s="110" t="str">
        <f>[30]ESTIMATE!A21</f>
        <v>6               5.3.17.1</v>
      </c>
      <c r="B10" s="117" t="s">
        <v>57</v>
      </c>
      <c r="C10" s="114">
        <f>[30]ESTIMATE!G24</f>
        <v>37.17</v>
      </c>
      <c r="D10" s="119" t="s">
        <v>11</v>
      </c>
      <c r="E10" s="110">
        <f>[30]ESTIMATE!I24</f>
        <v>194.5</v>
      </c>
      <c r="F10" s="228">
        <f t="shared" si="0"/>
        <v>7229.57</v>
      </c>
    </row>
    <row r="11" spans="1:6" ht="15.75">
      <c r="A11" s="110">
        <f>[30]ESTIMATE!A25</f>
        <v>7</v>
      </c>
      <c r="B11" s="120" t="s">
        <v>12</v>
      </c>
      <c r="C11" s="115"/>
      <c r="D11" s="121"/>
      <c r="E11" s="122"/>
      <c r="F11" s="227"/>
    </row>
    <row r="12" spans="1:6" ht="15.75">
      <c r="A12" s="123" t="s">
        <v>13</v>
      </c>
      <c r="B12" s="124" t="str">
        <f>[30]ESTIMATE!B26</f>
        <v>SAND-LEAD-49KM</v>
      </c>
      <c r="C12" s="115">
        <f>PRODUCT('[30]MATERIAL '!F7)</f>
        <v>24.36</v>
      </c>
      <c r="D12" s="121" t="s">
        <v>15</v>
      </c>
      <c r="E12" s="1">
        <f>[30]ESTIMATE!I26</f>
        <v>848.82</v>
      </c>
      <c r="F12" s="227">
        <f t="shared" ref="F12:F16" si="1">ROUND(C12*E12,2)</f>
        <v>20677.259999999998</v>
      </c>
    </row>
    <row r="13" spans="1:6" ht="15.75">
      <c r="A13" s="123" t="s">
        <v>16</v>
      </c>
      <c r="B13" s="125" t="str">
        <f>[30]ESTIMATE!B27</f>
        <v>STONE DUST-LEAD-22KM</v>
      </c>
      <c r="C13" s="115">
        <f>PRODUCT('[30]MATERIAL '!G7)</f>
        <v>28.32</v>
      </c>
      <c r="D13" s="121" t="s">
        <v>15</v>
      </c>
      <c r="E13" s="34">
        <f>[30]ESTIMATE!I27</f>
        <v>477.38</v>
      </c>
      <c r="F13" s="227">
        <f t="shared" si="1"/>
        <v>13519.4</v>
      </c>
    </row>
    <row r="14" spans="1:6" ht="15.75">
      <c r="A14" s="123" t="s">
        <v>18</v>
      </c>
      <c r="B14" s="125" t="str">
        <f>[30]ESTIMATE!B28</f>
        <v>STONE CHIPS-LEAD-22KM</v>
      </c>
      <c r="C14" s="115">
        <f>PRODUCT('[30]MATERIAL '!H7)</f>
        <v>48.71</v>
      </c>
      <c r="D14" s="121" t="s">
        <v>15</v>
      </c>
      <c r="E14" s="34">
        <f>[30]ESTIMATE!I28</f>
        <v>477.38</v>
      </c>
      <c r="F14" s="227">
        <f t="shared" si="1"/>
        <v>23253.18</v>
      </c>
    </row>
    <row r="15" spans="1:6" ht="15.75">
      <c r="A15" s="123" t="s">
        <v>20</v>
      </c>
      <c r="B15" s="125" t="str">
        <f>[30]ESTIMATE!B29</f>
        <v>BOULDER-LEAD-36KM</v>
      </c>
      <c r="C15" s="115">
        <f>PRODUCT('[30]MATERIAL '!I7)</f>
        <v>47.58</v>
      </c>
      <c r="D15" s="121" t="s">
        <v>15</v>
      </c>
      <c r="E15" s="1">
        <f>[30]ESTIMATE!I29</f>
        <v>679.66</v>
      </c>
      <c r="F15" s="227">
        <f t="shared" si="1"/>
        <v>32338.22</v>
      </c>
    </row>
    <row r="16" spans="1:6" ht="15.75">
      <c r="A16" s="123" t="s">
        <v>22</v>
      </c>
      <c r="B16" s="117" t="str">
        <f>[30]ESTIMATE!B30</f>
        <v>EARTH-LEAD-01km</v>
      </c>
      <c r="C16" s="115">
        <f>PRODUCT('[30]MATERIAL '!J7)</f>
        <v>75.900000000000006</v>
      </c>
      <c r="D16" s="121" t="s">
        <v>15</v>
      </c>
      <c r="E16" s="34">
        <f>[30]ESTIMATE!I30</f>
        <v>117.54</v>
      </c>
      <c r="F16" s="227">
        <f t="shared" si="1"/>
        <v>8921.2900000000009</v>
      </c>
    </row>
    <row r="17" spans="1:6" ht="15.75">
      <c r="A17" s="126"/>
      <c r="B17" s="126"/>
      <c r="C17" s="498" t="s">
        <v>24</v>
      </c>
      <c r="D17" s="498"/>
      <c r="E17" s="499"/>
      <c r="F17" s="227">
        <f>SUM(F5:F16)</f>
        <v>493222.47000000003</v>
      </c>
    </row>
    <row r="18" spans="1:6" ht="15.75">
      <c r="A18" s="126"/>
      <c r="B18" s="126"/>
      <c r="C18" s="501" t="s">
        <v>25</v>
      </c>
      <c r="D18" s="498"/>
      <c r="E18" s="499"/>
      <c r="F18" s="114">
        <f>F17*18%</f>
        <v>88780.044600000008</v>
      </c>
    </row>
    <row r="19" spans="1:6" ht="15.75">
      <c r="A19" s="126"/>
      <c r="B19" s="126"/>
      <c r="C19" s="501" t="s">
        <v>24</v>
      </c>
      <c r="D19" s="498"/>
      <c r="E19" s="499"/>
      <c r="F19" s="114">
        <f>SUM(F17:F18)</f>
        <v>582002.51459999999</v>
      </c>
    </row>
    <row r="20" spans="1:6" ht="15.75">
      <c r="A20" s="126"/>
      <c r="B20" s="126"/>
      <c r="C20" s="498" t="s">
        <v>26</v>
      </c>
      <c r="D20" s="498"/>
      <c r="E20" s="499"/>
      <c r="F20" s="227">
        <f>ROUND(F19*0.01,2)</f>
        <v>5820.03</v>
      </c>
    </row>
    <row r="21" spans="1:6" ht="15.75">
      <c r="A21" s="126"/>
      <c r="B21" s="126"/>
      <c r="C21" s="498" t="s">
        <v>24</v>
      </c>
      <c r="D21" s="498"/>
      <c r="E21" s="499"/>
      <c r="F21" s="114">
        <f>SUM(F19:F20)</f>
        <v>587822.54460000002</v>
      </c>
    </row>
    <row r="22" spans="1:6" ht="18">
      <c r="A22" s="126"/>
      <c r="B22" s="126"/>
      <c r="C22" s="498" t="s">
        <v>27</v>
      </c>
      <c r="D22" s="498"/>
      <c r="E22" s="499"/>
      <c r="F22" s="229">
        <v>587823</v>
      </c>
    </row>
    <row r="23" spans="1:6" ht="18.75">
      <c r="A23" s="16"/>
      <c r="B23" s="16"/>
      <c r="C23" s="17"/>
      <c r="D23" s="17"/>
      <c r="E23" s="17"/>
      <c r="F23" s="18"/>
    </row>
    <row r="24" spans="1:6" ht="18.75">
      <c r="A24" s="16"/>
      <c r="B24" s="16"/>
      <c r="C24" s="17"/>
      <c r="D24" s="17"/>
      <c r="E24" s="17"/>
      <c r="F24" s="18"/>
    </row>
    <row r="25" spans="1:6">
      <c r="A25" s="19"/>
    </row>
    <row r="26" spans="1:6">
      <c r="A26" s="19"/>
    </row>
    <row r="27" spans="1:6" ht="18.75">
      <c r="A27" s="19"/>
      <c r="B27" s="21" t="s">
        <v>28</v>
      </c>
      <c r="C27" s="22" t="s">
        <v>29</v>
      </c>
      <c r="F27" s="18" t="s">
        <v>30</v>
      </c>
    </row>
    <row r="28" spans="1:6" ht="18.75">
      <c r="A28" s="19"/>
      <c r="B28" s="21" t="s">
        <v>31</v>
      </c>
      <c r="C28" s="22" t="s">
        <v>32</v>
      </c>
      <c r="F28" s="18" t="s">
        <v>31</v>
      </c>
    </row>
  </sheetData>
  <mergeCells count="9">
    <mergeCell ref="C20:E20"/>
    <mergeCell ref="C21:E21"/>
    <mergeCell ref="C22:E22"/>
    <mergeCell ref="A1:F1"/>
    <mergeCell ref="A2:F2"/>
    <mergeCell ref="A3:F3"/>
    <mergeCell ref="C17:E17"/>
    <mergeCell ref="C18:E18"/>
    <mergeCell ref="C19:E19"/>
  </mergeCells>
  <pageMargins left="0.7" right="0.7" top="0.75" bottom="0.75" header="0.3" footer="0.3"/>
</worksheet>
</file>

<file path=xl/worksheets/sheet32.xml><?xml version="1.0" encoding="utf-8"?>
<worksheet xmlns="http://schemas.openxmlformats.org/spreadsheetml/2006/main" xmlns:r="http://schemas.openxmlformats.org/officeDocument/2006/relationships">
  <dimension ref="A1:G23"/>
  <sheetViews>
    <sheetView workbookViewId="0">
      <selection activeCell="A3" sqref="A3:XFD3"/>
    </sheetView>
  </sheetViews>
  <sheetFormatPr defaultRowHeight="15"/>
  <cols>
    <col min="1" max="1" width="8.85546875" style="30" customWidth="1"/>
    <col min="2" max="2" width="42.85546875" style="31" customWidth="1"/>
    <col min="3" max="3" width="13.7109375" style="23" bestFit="1" customWidth="1"/>
    <col min="4" max="4" width="9.140625" style="32"/>
    <col min="5" max="5" width="12.140625" style="23" customWidth="1"/>
    <col min="6" max="6" width="16.42578125" style="33" customWidth="1"/>
    <col min="7" max="7" width="22.140625" style="23" hidden="1" customWidth="1"/>
    <col min="8" max="16384" width="9.140625" style="23"/>
  </cols>
  <sheetData>
    <row r="1" spans="1:6" ht="18.75">
      <c r="A1" s="380" t="s">
        <v>0</v>
      </c>
      <c r="B1" s="380"/>
      <c r="C1" s="380"/>
      <c r="D1" s="380"/>
      <c r="E1" s="380"/>
      <c r="F1" s="380"/>
    </row>
    <row r="2" spans="1:6" ht="18.75">
      <c r="A2" s="380" t="s">
        <v>33</v>
      </c>
      <c r="B2" s="380"/>
      <c r="C2" s="380"/>
      <c r="D2" s="380"/>
      <c r="E2" s="380"/>
      <c r="F2" s="380"/>
    </row>
    <row r="3" spans="1:6" ht="39.75" customHeight="1">
      <c r="A3" s="515" t="s">
        <v>186</v>
      </c>
      <c r="B3" s="516"/>
      <c r="C3" s="516"/>
      <c r="D3" s="516"/>
      <c r="E3" s="516"/>
      <c r="F3" s="517"/>
    </row>
    <row r="4" spans="1:6">
      <c r="A4" s="24" t="s">
        <v>35</v>
      </c>
      <c r="B4" s="24" t="s">
        <v>36</v>
      </c>
      <c r="C4" s="24" t="s">
        <v>37</v>
      </c>
      <c r="D4" s="24" t="s">
        <v>5</v>
      </c>
      <c r="E4" s="24" t="s">
        <v>38</v>
      </c>
      <c r="F4" s="24" t="s">
        <v>39</v>
      </c>
    </row>
    <row r="5" spans="1:6" ht="75">
      <c r="A5" s="135" t="s">
        <v>187</v>
      </c>
      <c r="B5" s="26" t="s">
        <v>188</v>
      </c>
      <c r="C5" s="26">
        <v>56.22</v>
      </c>
      <c r="D5" s="25" t="s">
        <v>158</v>
      </c>
      <c r="E5" s="134">
        <v>151.82</v>
      </c>
      <c r="F5" s="26">
        <f>C5*E5</f>
        <v>8535.3203999999987</v>
      </c>
    </row>
    <row r="6" spans="1:6" ht="105">
      <c r="A6" s="135" t="s">
        <v>189</v>
      </c>
      <c r="B6" s="26" t="s">
        <v>190</v>
      </c>
      <c r="C6" s="26">
        <v>4.97</v>
      </c>
      <c r="D6" s="25" t="s">
        <v>158</v>
      </c>
      <c r="E6" s="134">
        <v>344.85</v>
      </c>
      <c r="F6" s="26">
        <f t="shared" ref="F6:F18" si="0">C6*E6</f>
        <v>1713.9045000000001</v>
      </c>
    </row>
    <row r="7" spans="1:6" ht="90">
      <c r="A7" s="135" t="s">
        <v>191</v>
      </c>
      <c r="B7" s="26" t="s">
        <v>161</v>
      </c>
      <c r="C7" s="26">
        <v>8.34</v>
      </c>
      <c r="D7" s="25" t="s">
        <v>158</v>
      </c>
      <c r="E7" s="134">
        <v>1756.4</v>
      </c>
      <c r="F7" s="26">
        <f t="shared" si="0"/>
        <v>14648.376</v>
      </c>
    </row>
    <row r="8" spans="1:6" ht="60">
      <c r="A8" s="135" t="s">
        <v>192</v>
      </c>
      <c r="B8" s="26" t="s">
        <v>193</v>
      </c>
      <c r="C8" s="134">
        <v>18.329999999999998</v>
      </c>
      <c r="D8" s="25" t="s">
        <v>158</v>
      </c>
      <c r="E8" s="134">
        <v>6082.45</v>
      </c>
      <c r="F8" s="26">
        <f t="shared" si="0"/>
        <v>111491.30849999998</v>
      </c>
    </row>
    <row r="9" spans="1:6" ht="105">
      <c r="A9" s="135" t="s">
        <v>194</v>
      </c>
      <c r="B9" s="26" t="s">
        <v>195</v>
      </c>
      <c r="C9" s="134">
        <v>6.56</v>
      </c>
      <c r="D9" s="25" t="s">
        <v>158</v>
      </c>
      <c r="E9" s="134">
        <v>6308.87</v>
      </c>
      <c r="F9" s="26">
        <f t="shared" si="0"/>
        <v>41386.1872</v>
      </c>
    </row>
    <row r="10" spans="1:6" ht="135">
      <c r="A10" s="135" t="s">
        <v>196</v>
      </c>
      <c r="B10" s="137" t="s">
        <v>197</v>
      </c>
      <c r="C10" s="134">
        <f>0.45+0.16</f>
        <v>0.61</v>
      </c>
      <c r="D10" s="135" t="s">
        <v>10</v>
      </c>
      <c r="E10" s="134">
        <v>83314.02</v>
      </c>
      <c r="F10" s="26">
        <f t="shared" si="0"/>
        <v>50821.552199999998</v>
      </c>
    </row>
    <row r="11" spans="1:6" ht="135">
      <c r="A11" s="135" t="s">
        <v>198</v>
      </c>
      <c r="B11" s="137" t="s">
        <v>199</v>
      </c>
      <c r="C11" s="134">
        <f>0.68+0.24</f>
        <v>0.92</v>
      </c>
      <c r="D11" s="135" t="s">
        <v>10</v>
      </c>
      <c r="E11" s="134">
        <v>82096.539999999994</v>
      </c>
      <c r="F11" s="26">
        <f t="shared" si="0"/>
        <v>75528.816800000001</v>
      </c>
    </row>
    <row r="12" spans="1:6" ht="45">
      <c r="A12" s="135" t="s">
        <v>200</v>
      </c>
      <c r="B12" s="137" t="s">
        <v>201</v>
      </c>
      <c r="C12" s="26">
        <v>259.95999999999998</v>
      </c>
      <c r="D12" s="135" t="s">
        <v>172</v>
      </c>
      <c r="E12" s="134">
        <v>194.5</v>
      </c>
      <c r="F12" s="26">
        <f t="shared" si="0"/>
        <v>50562.219999999994</v>
      </c>
    </row>
    <row r="13" spans="1:6">
      <c r="A13" s="27">
        <v>9</v>
      </c>
      <c r="B13" s="28" t="s">
        <v>175</v>
      </c>
      <c r="C13" s="26"/>
      <c r="D13" s="25"/>
      <c r="E13" s="29"/>
      <c r="F13" s="26"/>
    </row>
    <row r="14" spans="1:6">
      <c r="A14" s="27" t="s">
        <v>145</v>
      </c>
      <c r="B14" s="26" t="s">
        <v>202</v>
      </c>
      <c r="C14" s="26">
        <v>10.7</v>
      </c>
      <c r="D14" s="26" t="s">
        <v>158</v>
      </c>
      <c r="E14" s="26">
        <v>819.06</v>
      </c>
      <c r="F14" s="26">
        <f t="shared" si="0"/>
        <v>8763.9419999999991</v>
      </c>
    </row>
    <row r="15" spans="1:6">
      <c r="A15" s="27" t="s">
        <v>147</v>
      </c>
      <c r="B15" s="26" t="s">
        <v>203</v>
      </c>
      <c r="C15" s="26">
        <v>4.97</v>
      </c>
      <c r="D15" s="26" t="s">
        <v>158</v>
      </c>
      <c r="E15" s="26">
        <v>417.3</v>
      </c>
      <c r="F15" s="26">
        <f t="shared" si="0"/>
        <v>2073.9809999999998</v>
      </c>
    </row>
    <row r="16" spans="1:6">
      <c r="A16" s="27" t="s">
        <v>149</v>
      </c>
      <c r="B16" s="26" t="s">
        <v>181</v>
      </c>
      <c r="C16" s="26">
        <v>8.34</v>
      </c>
      <c r="D16" s="26" t="s">
        <v>158</v>
      </c>
      <c r="E16" s="26">
        <v>648.59</v>
      </c>
      <c r="F16" s="26">
        <f t="shared" si="0"/>
        <v>5409.2406000000001</v>
      </c>
    </row>
    <row r="17" spans="1:6">
      <c r="A17" s="27" t="s">
        <v>204</v>
      </c>
      <c r="B17" s="26" t="s">
        <v>205</v>
      </c>
      <c r="C17" s="26">
        <v>21.4</v>
      </c>
      <c r="D17" s="26" t="s">
        <v>158</v>
      </c>
      <c r="E17" s="26">
        <v>417.3</v>
      </c>
      <c r="F17" s="26">
        <f t="shared" si="0"/>
        <v>8930.2199999999993</v>
      </c>
    </row>
    <row r="18" spans="1:6">
      <c r="A18" s="27" t="s">
        <v>206</v>
      </c>
      <c r="B18" s="26" t="s">
        <v>185</v>
      </c>
      <c r="C18" s="26">
        <v>19.64</v>
      </c>
      <c r="D18" s="26" t="s">
        <v>158</v>
      </c>
      <c r="E18" s="26">
        <v>117.54</v>
      </c>
      <c r="F18" s="26">
        <f t="shared" si="0"/>
        <v>2308.4856</v>
      </c>
    </row>
    <row r="19" spans="1:6">
      <c r="A19" s="26"/>
      <c r="B19" s="26"/>
      <c r="C19" s="26"/>
      <c r="D19" s="26"/>
      <c r="E19" s="26" t="s">
        <v>59</v>
      </c>
      <c r="F19" s="26">
        <f>SUM(F5:F18)</f>
        <v>382173.55479999993</v>
      </c>
    </row>
    <row r="20" spans="1:6">
      <c r="A20" s="27"/>
      <c r="B20" s="28"/>
      <c r="C20" s="29"/>
      <c r="D20" s="25"/>
      <c r="E20" s="26" t="s">
        <v>60</v>
      </c>
      <c r="F20" s="26">
        <f>F19*18/100</f>
        <v>68791.239863999988</v>
      </c>
    </row>
    <row r="21" spans="1:6">
      <c r="A21" s="27"/>
      <c r="B21" s="28"/>
      <c r="C21" s="29"/>
      <c r="D21" s="25"/>
      <c r="E21" s="26"/>
      <c r="F21" s="26">
        <f>F20+F19</f>
        <v>450964.79466399993</v>
      </c>
    </row>
    <row r="22" spans="1:6">
      <c r="A22" s="27"/>
      <c r="B22" s="28"/>
      <c r="C22" s="29"/>
      <c r="D22" s="25"/>
      <c r="E22" s="26" t="s">
        <v>61</v>
      </c>
      <c r="F22" s="26">
        <f>F21*1/100</f>
        <v>4509.6479466399996</v>
      </c>
    </row>
    <row r="23" spans="1:6">
      <c r="A23" s="27"/>
      <c r="B23" s="28"/>
      <c r="C23" s="29"/>
      <c r="D23" s="25"/>
      <c r="E23" s="26" t="s">
        <v>59</v>
      </c>
      <c r="F23" s="26">
        <f>F22+F21</f>
        <v>455474.4426106399</v>
      </c>
    </row>
  </sheetData>
  <mergeCells count="3">
    <mergeCell ref="A1:F1"/>
    <mergeCell ref="A2:F2"/>
    <mergeCell ref="A3:F3"/>
  </mergeCells>
  <pageMargins left="0.7" right="0.7" top="0.75" bottom="0.75" header="0.3" footer="0.3"/>
</worksheet>
</file>

<file path=xl/worksheets/sheet33.xml><?xml version="1.0" encoding="utf-8"?>
<worksheet xmlns="http://schemas.openxmlformats.org/spreadsheetml/2006/main" xmlns:r="http://schemas.openxmlformats.org/officeDocument/2006/relationships">
  <dimension ref="A1:J17"/>
  <sheetViews>
    <sheetView topLeftCell="A10" workbookViewId="0">
      <selection activeCell="A2" sqref="A2:F2"/>
    </sheetView>
  </sheetViews>
  <sheetFormatPr defaultRowHeight="15"/>
  <cols>
    <col min="1" max="1" width="8" customWidth="1"/>
    <col min="2" max="2" width="46" customWidth="1"/>
    <col min="6" max="6" width="12.42578125" customWidth="1"/>
  </cols>
  <sheetData>
    <row r="1" spans="1:6" ht="23.25">
      <c r="B1" s="519" t="s">
        <v>75</v>
      </c>
      <c r="C1" s="519"/>
      <c r="D1" s="519"/>
      <c r="E1" s="519"/>
    </row>
    <row r="2" spans="1:6" ht="45.75" customHeight="1">
      <c r="A2" s="520" t="s">
        <v>261</v>
      </c>
      <c r="B2" s="520"/>
      <c r="C2" s="520"/>
      <c r="D2" s="520"/>
      <c r="E2" s="520"/>
      <c r="F2" s="520"/>
    </row>
    <row r="3" spans="1:6">
      <c r="A3" s="186"/>
    </row>
    <row r="4" spans="1:6" ht="30">
      <c r="A4" s="28" t="s">
        <v>64</v>
      </c>
      <c r="B4" s="29" t="s">
        <v>262</v>
      </c>
      <c r="C4" s="187" t="s">
        <v>263</v>
      </c>
      <c r="D4" s="29" t="s">
        <v>264</v>
      </c>
      <c r="E4" s="143" t="s">
        <v>265</v>
      </c>
      <c r="F4" s="188" t="s">
        <v>266</v>
      </c>
    </row>
    <row r="5" spans="1:6" ht="166.5" customHeight="1">
      <c r="A5" s="98" t="s">
        <v>267</v>
      </c>
      <c r="B5" s="189" t="s">
        <v>209</v>
      </c>
      <c r="C5" s="190">
        <f>'[31]DETAILED ESTIMATE'!G8</f>
        <v>36.193712829226847</v>
      </c>
      <c r="D5" s="191" t="s">
        <v>15</v>
      </c>
      <c r="E5" s="190">
        <f>'[31]DETAILED ESTIMATE'!I8</f>
        <v>151.82</v>
      </c>
      <c r="F5" s="190">
        <f t="shared" ref="F5:F7" si="0">PRODUCT(C5,E5)</f>
        <v>5494.9294817332193</v>
      </c>
    </row>
    <row r="6" spans="1:6" ht="252">
      <c r="A6" s="192" t="s">
        <v>210</v>
      </c>
      <c r="B6" s="189" t="s">
        <v>268</v>
      </c>
      <c r="C6" s="190">
        <f>'[31]DETAILED ESTIMATE'!G12</f>
        <v>158.36431226765799</v>
      </c>
      <c r="D6" s="190" t="s">
        <v>15</v>
      </c>
      <c r="E6" s="190">
        <v>877.72</v>
      </c>
      <c r="F6" s="190">
        <f t="shared" si="0"/>
        <v>138999.52416356877</v>
      </c>
    </row>
    <row r="7" spans="1:6" ht="124.5" customHeight="1">
      <c r="A7" s="192" t="s">
        <v>269</v>
      </c>
      <c r="B7" s="96" t="s">
        <v>270</v>
      </c>
      <c r="C7" s="190">
        <f>'[31]DETAILED ESTIMATE'!G16</f>
        <v>10.28</v>
      </c>
      <c r="D7" s="190" t="s">
        <v>15</v>
      </c>
      <c r="E7" s="190">
        <f>'[31]DETAILED ESTIMATE'!I16</f>
        <v>4961.7299999999996</v>
      </c>
      <c r="F7" s="190">
        <f t="shared" si="0"/>
        <v>51006.584399999992</v>
      </c>
    </row>
    <row r="8" spans="1:6" ht="15.75" customHeight="1">
      <c r="A8" s="193"/>
      <c r="B8" s="193" t="s">
        <v>271</v>
      </c>
      <c r="C8" s="194"/>
      <c r="D8" s="194"/>
      <c r="E8" s="195"/>
      <c r="F8" s="196"/>
    </row>
    <row r="9" spans="1:6">
      <c r="A9" s="197"/>
      <c r="B9" s="154" t="str">
        <f>'[31]DETAILED ESTIMATE'!B18</f>
        <v>SAND-LEAD-42 KM</v>
      </c>
      <c r="C9" s="198">
        <f>'[31]DETAILED ESTIMATE'!C18</f>
        <v>0.43</v>
      </c>
      <c r="D9" s="198" t="s">
        <v>10</v>
      </c>
      <c r="E9" s="190">
        <f>'[31]DETAILED ESTIMATE'!I18</f>
        <v>744.66</v>
      </c>
      <c r="F9" s="190">
        <f>PRODUCT(C9,E9)</f>
        <v>320.2038</v>
      </c>
    </row>
    <row r="10" spans="1:6">
      <c r="A10" s="197"/>
      <c r="B10" s="198" t="str">
        <f>'[31]DETAILED ESTIMATE'!B19</f>
        <v>CHIPS-LEAD-15KM</v>
      </c>
      <c r="C10" s="198">
        <f>'[31]DETAILED ESTIMATE'!C19</f>
        <v>8.8407999999999998</v>
      </c>
      <c r="D10" s="198" t="s">
        <v>15</v>
      </c>
      <c r="E10" s="190">
        <f>'[31]DETAILED ESTIMATE'!I19</f>
        <v>342.9</v>
      </c>
      <c r="F10" s="190">
        <f>PRODUCT(C10,E10)</f>
        <v>3031.5103199999999</v>
      </c>
    </row>
    <row r="11" spans="1:6">
      <c r="A11" s="197"/>
      <c r="B11" s="198" t="str">
        <f>'[31]DETAILED ESTIMATE'!B20</f>
        <v>EARTH-LEAD-1km</v>
      </c>
      <c r="C11" s="198">
        <f>'[31]DETAILED ESTIMATE'!C20</f>
        <v>36.193712829226847</v>
      </c>
      <c r="D11" s="198" t="s">
        <v>15</v>
      </c>
      <c r="E11" s="190">
        <f>'[31]DETAILED ESTIMATE'!I20</f>
        <v>117.54</v>
      </c>
      <c r="F11" s="190">
        <f>PRODUCT(C11,E11)</f>
        <v>4254.2090059473239</v>
      </c>
    </row>
    <row r="12" spans="1:6">
      <c r="A12" s="199"/>
      <c r="B12" s="521" t="s">
        <v>59</v>
      </c>
      <c r="C12" s="521"/>
      <c r="D12" s="521"/>
      <c r="E12" s="522"/>
      <c r="F12" s="146">
        <f>SUM(F5:F11)</f>
        <v>203106.96117124928</v>
      </c>
    </row>
    <row r="13" spans="1:6">
      <c r="A13" s="343"/>
      <c r="B13" s="343"/>
      <c r="C13" s="343"/>
      <c r="D13" s="518" t="s">
        <v>272</v>
      </c>
      <c r="E13" s="518"/>
      <c r="F13" s="343">
        <f>F12*0.18</f>
        <v>36559.253010824868</v>
      </c>
    </row>
    <row r="14" spans="1:6">
      <c r="A14" s="343"/>
      <c r="B14" s="343"/>
      <c r="C14" s="343"/>
      <c r="D14" s="518" t="s">
        <v>59</v>
      </c>
      <c r="E14" s="518"/>
      <c r="F14" s="344">
        <f>F12+F13</f>
        <v>239666.21418207415</v>
      </c>
    </row>
    <row r="15" spans="1:6">
      <c r="A15" s="343"/>
      <c r="B15" s="343"/>
      <c r="C15" s="343"/>
      <c r="D15" s="523" t="s">
        <v>273</v>
      </c>
      <c r="E15" s="523"/>
      <c r="F15" s="343">
        <f>F14*0.01</f>
        <v>2396.6621418207415</v>
      </c>
    </row>
    <row r="16" spans="1:6">
      <c r="A16" s="343"/>
      <c r="B16" s="343"/>
      <c r="C16" s="343"/>
      <c r="D16" s="518" t="s">
        <v>59</v>
      </c>
      <c r="E16" s="518"/>
      <c r="F16" s="344">
        <f>F14+F15</f>
        <v>242062.87632389489</v>
      </c>
    </row>
    <row r="17" spans="1:10" ht="24.75" customHeight="1">
      <c r="A17" s="345"/>
      <c r="B17" s="345"/>
      <c r="C17" s="345"/>
      <c r="D17" s="518" t="s">
        <v>274</v>
      </c>
      <c r="E17" s="518"/>
      <c r="F17" s="198">
        <v>245000</v>
      </c>
      <c r="G17" s="202"/>
      <c r="H17" s="202"/>
      <c r="I17" s="202"/>
      <c r="J17" s="203"/>
    </row>
  </sheetData>
  <mergeCells count="8">
    <mergeCell ref="D16:E16"/>
    <mergeCell ref="D17:E17"/>
    <mergeCell ref="B1:E1"/>
    <mergeCell ref="A2:F2"/>
    <mergeCell ref="B12:E12"/>
    <mergeCell ref="D13:E13"/>
    <mergeCell ref="D14:E14"/>
    <mergeCell ref="D15:E15"/>
  </mergeCells>
  <pageMargins left="0.7" right="0.7" top="0.75" bottom="0.75" header="0.3" footer="0.3"/>
</worksheet>
</file>

<file path=xl/worksheets/sheet34.xml><?xml version="1.0" encoding="utf-8"?>
<worksheet xmlns="http://schemas.openxmlformats.org/spreadsheetml/2006/main" xmlns:r="http://schemas.openxmlformats.org/officeDocument/2006/relationships">
  <dimension ref="A1:F28"/>
  <sheetViews>
    <sheetView workbookViewId="0">
      <selection activeCell="A3" sqref="A3:F3"/>
    </sheetView>
  </sheetViews>
  <sheetFormatPr defaultRowHeight="15"/>
  <cols>
    <col min="1" max="1" width="9.28515625" bestFit="1" customWidth="1"/>
    <col min="2" max="2" width="51.42578125" customWidth="1"/>
    <col min="3" max="3" width="10.85546875" bestFit="1" customWidth="1"/>
    <col min="5" max="5" width="13" bestFit="1" customWidth="1"/>
    <col min="6" max="6" width="22.5703125" customWidth="1"/>
  </cols>
  <sheetData>
    <row r="1" spans="1:6" ht="25.5">
      <c r="A1" s="469" t="s">
        <v>0</v>
      </c>
      <c r="B1" s="470"/>
      <c r="C1" s="470"/>
      <c r="D1" s="470"/>
      <c r="E1" s="470"/>
      <c r="F1" s="471"/>
    </row>
    <row r="2" spans="1:6" ht="18" customHeight="1">
      <c r="A2" s="472" t="s">
        <v>1</v>
      </c>
      <c r="B2" s="473"/>
      <c r="C2" s="473"/>
      <c r="D2" s="473"/>
      <c r="E2" s="473"/>
      <c r="F2" s="474"/>
    </row>
    <row r="3" spans="1:6" ht="32.450000000000003" customHeight="1">
      <c r="A3" s="526" t="str">
        <f>[32]ESTIMATE!A2</f>
        <v>Name of Work :-CONSTRUCTION OF PCC ROAD At Bank Mode Sec II UNDER WARD NO-41</v>
      </c>
      <c r="B3" s="421"/>
      <c r="C3" s="421"/>
      <c r="D3" s="421"/>
      <c r="E3" s="421"/>
      <c r="F3" s="527"/>
    </row>
    <row r="4" spans="1:6" ht="31.5">
      <c r="A4" s="89" t="s">
        <v>2</v>
      </c>
      <c r="B4" s="90" t="s">
        <v>3</v>
      </c>
      <c r="C4" s="90" t="s">
        <v>4</v>
      </c>
      <c r="D4" s="90" t="s">
        <v>5</v>
      </c>
      <c r="E4" s="89" t="s">
        <v>6</v>
      </c>
      <c r="F4" s="89" t="s">
        <v>7</v>
      </c>
    </row>
    <row r="5" spans="1:6" ht="31.5">
      <c r="A5" s="89">
        <f>[32]ESTIMATE!A4</f>
        <v>1</v>
      </c>
      <c r="B5" s="96" t="str">
        <f>[32]ESTIMATE!B4</f>
        <v>Providing Mandays for site clearence before and after the work etc.</v>
      </c>
      <c r="C5" s="93">
        <f>[32]ESTIMATE!G4</f>
        <v>6</v>
      </c>
      <c r="D5" s="94" t="s">
        <v>15</v>
      </c>
      <c r="E5" s="93">
        <f>[32]ESTIMATE!I4</f>
        <v>330.4</v>
      </c>
      <c r="F5" s="93">
        <f t="shared" ref="F5:F9" si="0">ROUND(C5*E5,2)</f>
        <v>1982.4</v>
      </c>
    </row>
    <row r="6" spans="1:6" ht="126">
      <c r="A6" s="89" t="str">
        <f>[32]ESTIMATE!A5</f>
        <v>2       5.1.1.+ 5.1.2</v>
      </c>
      <c r="B6" s="96" t="str">
        <f>[32]ESTIMATE!B5</f>
        <v xml:space="preserve">Earthwork in excavation in foundation trenches in ordinary soil (vide classification of soil item -A) and disposal of excavated earth as obtained to a distance upto 50 m including all lifts,levelling,ramming the foundation trenches,removing roots of trees,shrubs all complete as per approved design,building specification and direction of E/I                                                                              </v>
      </c>
      <c r="C6" s="93">
        <f>[32]ESTIMATE!G8</f>
        <v>105.78</v>
      </c>
      <c r="D6" s="94" t="s">
        <v>15</v>
      </c>
      <c r="E6" s="93">
        <v>151.82</v>
      </c>
      <c r="F6" s="93">
        <f t="shared" si="0"/>
        <v>16059.52</v>
      </c>
    </row>
    <row r="7" spans="1:6" ht="110.25">
      <c r="A7" s="89" t="str">
        <f>[32]ESTIMATE!A9</f>
        <v>3.         5.1.10</v>
      </c>
      <c r="B7" s="96" t="str">
        <f>[32]ESTIMATE!B9</f>
        <v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 Mode of measurement compacted volume. )                               </v>
      </c>
      <c r="C7" s="93">
        <f>[32]ESTIMATE!G12</f>
        <v>31.86</v>
      </c>
      <c r="D7" s="94" t="s">
        <v>15</v>
      </c>
      <c r="E7" s="93">
        <v>589.51</v>
      </c>
      <c r="F7" s="93">
        <f t="shared" si="0"/>
        <v>18781.79</v>
      </c>
    </row>
    <row r="8" spans="1:6" ht="78.75">
      <c r="A8" s="89" t="str">
        <f>[32]ESTIMATE!A13</f>
        <v>4.       5.6.8</v>
      </c>
      <c r="B8" s="96" t="str">
        <f>[32]ESTIMATE!B13</f>
        <v>Supplying and laying (properly as per design and drawing )rip-rap with good quality of boulders duly packed including the cost of materials,royalty all taxes etc.but excluding the cost of carriage, all complete as per specification and direction of E/I.</v>
      </c>
      <c r="C8" s="93">
        <f>[32]ESTIMATE!G16</f>
        <v>53.53</v>
      </c>
      <c r="D8" s="94" t="s">
        <v>15</v>
      </c>
      <c r="E8" s="93">
        <v>1756.4</v>
      </c>
      <c r="F8" s="93">
        <f t="shared" si="0"/>
        <v>94020.09</v>
      </c>
    </row>
    <row r="9" spans="1:6" ht="65.099999999999994" customHeight="1">
      <c r="A9" s="89" t="str">
        <f>[32]ESTIMATE!A17</f>
        <v>5.     5.3.1.1</v>
      </c>
      <c r="B9" s="97" t="str">
        <f>[32]ESTIMATE!B17</f>
        <v xml:space="preserve">Providing and laying in position concrete of specified grade excluding the cost of centering and shuttering- All work upto plinth level : 1:1½:3 (1 cemet : 1½ coarse sand (zone-iii) : 3 graded stone aggregate 20mm nominal size )  </v>
      </c>
      <c r="C9" s="93">
        <f>[32]ESTIMATE!G20</f>
        <v>63.72</v>
      </c>
      <c r="D9" s="94" t="s">
        <v>15</v>
      </c>
      <c r="E9" s="93">
        <v>6082.45</v>
      </c>
      <c r="F9" s="93">
        <f t="shared" si="0"/>
        <v>387573.71</v>
      </c>
    </row>
    <row r="10" spans="1:6" ht="65.099999999999994" customHeight="1">
      <c r="A10" s="89" t="str">
        <f>[32]ESTIMATE!A21</f>
        <v>6               5.3.17.1</v>
      </c>
      <c r="B10" s="97" t="str">
        <f>[32]ESTIMATE!B21</f>
        <v>Centering and shuttering including strutting, propping etc. and removal of from for Foundations,footings, bases of columns, etc. for mass concrete.</v>
      </c>
      <c r="C10" s="93">
        <f>[32]ESTIMATE!G24</f>
        <v>41.82</v>
      </c>
      <c r="D10" s="94" t="s">
        <v>172</v>
      </c>
      <c r="E10" s="93">
        <f>[32]ESTIMATE!I24</f>
        <v>194.5</v>
      </c>
      <c r="F10" s="93">
        <f>[32]ESTIMATE!J24</f>
        <v>8133.99</v>
      </c>
    </row>
    <row r="11" spans="1:6" ht="15.75">
      <c r="A11" s="89">
        <f>[32]ESTIMATE!A25</f>
        <v>7</v>
      </c>
      <c r="B11" s="99" t="s">
        <v>12</v>
      </c>
      <c r="C11" s="94"/>
      <c r="D11" s="100"/>
      <c r="E11" s="101"/>
      <c r="F11" s="93"/>
    </row>
    <row r="12" spans="1:6" ht="15.75">
      <c r="A12" s="102" t="s">
        <v>13</v>
      </c>
      <c r="B12" s="103" t="s">
        <v>76</v>
      </c>
      <c r="C12" s="94">
        <f>C9*0.43</f>
        <v>27.3996</v>
      </c>
      <c r="D12" s="100" t="s">
        <v>15</v>
      </c>
      <c r="E12" s="1">
        <f>[32]ESTIMATE!I26</f>
        <v>744.66</v>
      </c>
      <c r="F12" s="93">
        <f>C12*E12</f>
        <v>20403.386135999997</v>
      </c>
    </row>
    <row r="13" spans="1:6" ht="15.75">
      <c r="A13" s="102" t="s">
        <v>16</v>
      </c>
      <c r="B13" s="103" t="s">
        <v>77</v>
      </c>
      <c r="C13" s="94">
        <f>C7</f>
        <v>31.86</v>
      </c>
      <c r="D13" s="100" t="s">
        <v>15</v>
      </c>
      <c r="E13" s="34">
        <f>[32]ESTIMATE!I27</f>
        <v>387.54</v>
      </c>
      <c r="F13" s="93">
        <f t="shared" ref="F13:F16" si="1">ROUND(C13*E13,2)</f>
        <v>12347.02</v>
      </c>
    </row>
    <row r="14" spans="1:6" ht="15.75">
      <c r="A14" s="102" t="s">
        <v>18</v>
      </c>
      <c r="B14" s="104" t="s">
        <v>78</v>
      </c>
      <c r="C14" s="94">
        <f>C9*0.86</f>
        <v>54.799199999999999</v>
      </c>
      <c r="D14" s="100" t="s">
        <v>15</v>
      </c>
      <c r="E14" s="34">
        <f>[32]ESTIMATE!I28</f>
        <v>342.9</v>
      </c>
      <c r="F14" s="93">
        <f t="shared" si="1"/>
        <v>18790.650000000001</v>
      </c>
    </row>
    <row r="15" spans="1:6" ht="15.75">
      <c r="A15" s="102" t="s">
        <v>20</v>
      </c>
      <c r="B15" s="104" t="s">
        <v>79</v>
      </c>
      <c r="C15" s="94">
        <f>C8</f>
        <v>53.53</v>
      </c>
      <c r="D15" s="100" t="s">
        <v>15</v>
      </c>
      <c r="E15" s="1">
        <f>[32]ESTIMATE!I29</f>
        <v>570.94000000000005</v>
      </c>
      <c r="F15" s="93">
        <f t="shared" si="1"/>
        <v>30562.42</v>
      </c>
    </row>
    <row r="16" spans="1:6" ht="15.75">
      <c r="A16" s="102" t="s">
        <v>22</v>
      </c>
      <c r="B16" s="96" t="s">
        <v>80</v>
      </c>
      <c r="C16" s="94">
        <f>C6</f>
        <v>105.78</v>
      </c>
      <c r="D16" s="100" t="s">
        <v>15</v>
      </c>
      <c r="E16" s="34">
        <f>[32]ESTIMATE!I30</f>
        <v>117.54</v>
      </c>
      <c r="F16" s="93">
        <f t="shared" si="1"/>
        <v>12433.38</v>
      </c>
    </row>
    <row r="17" spans="1:6" ht="15.75">
      <c r="A17" s="105"/>
      <c r="B17" s="105"/>
      <c r="C17" s="524" t="s">
        <v>24</v>
      </c>
      <c r="D17" s="524"/>
      <c r="E17" s="525"/>
      <c r="F17" s="93">
        <f>SUM(F5:F16)</f>
        <v>621088.35613600013</v>
      </c>
    </row>
    <row r="18" spans="1:6" ht="15.75">
      <c r="A18" s="105"/>
      <c r="B18" s="105"/>
      <c r="C18" s="528" t="s">
        <v>25</v>
      </c>
      <c r="D18" s="524"/>
      <c r="E18" s="525"/>
      <c r="F18" s="93">
        <f>F17*18%</f>
        <v>111795.90410448003</v>
      </c>
    </row>
    <row r="19" spans="1:6" ht="15.75">
      <c r="A19" s="105"/>
      <c r="B19" s="105"/>
      <c r="C19" s="528" t="s">
        <v>24</v>
      </c>
      <c r="D19" s="524"/>
      <c r="E19" s="525"/>
      <c r="F19" s="93">
        <f>SUM(F17:F18)</f>
        <v>732884.26024048019</v>
      </c>
    </row>
    <row r="20" spans="1:6" ht="15.75">
      <c r="A20" s="105"/>
      <c r="B20" s="105"/>
      <c r="C20" s="524" t="s">
        <v>26</v>
      </c>
      <c r="D20" s="524"/>
      <c r="E20" s="525"/>
      <c r="F20" s="93">
        <f>ROUND(F19*0.01,2)</f>
        <v>7328.84</v>
      </c>
    </row>
    <row r="21" spans="1:6" ht="15.75">
      <c r="A21" s="105"/>
      <c r="B21" s="105"/>
      <c r="C21" s="524" t="s">
        <v>24</v>
      </c>
      <c r="D21" s="524"/>
      <c r="E21" s="525"/>
      <c r="F21" s="95">
        <f>SUM(F19:F20)</f>
        <v>740213.10024048015</v>
      </c>
    </row>
    <row r="22" spans="1:6" ht="18.75">
      <c r="A22" s="105"/>
      <c r="B22" s="105"/>
      <c r="C22" s="524" t="s">
        <v>27</v>
      </c>
      <c r="D22" s="524"/>
      <c r="E22" s="525"/>
      <c r="F22" s="106"/>
    </row>
    <row r="23" spans="1:6" ht="18.75">
      <c r="A23" s="107"/>
      <c r="B23" s="107"/>
      <c r="C23" s="108"/>
      <c r="D23" s="108"/>
      <c r="E23" s="108"/>
      <c r="F23" s="109"/>
    </row>
    <row r="24" spans="1:6" ht="18.75">
      <c r="A24" s="107"/>
      <c r="B24" s="107"/>
      <c r="C24" s="108"/>
      <c r="D24" s="108"/>
      <c r="E24" s="108"/>
      <c r="F24" s="109"/>
    </row>
    <row r="25" spans="1:6">
      <c r="A25" s="19"/>
    </row>
    <row r="26" spans="1:6">
      <c r="A26" s="19"/>
    </row>
    <row r="27" spans="1:6" ht="18.75">
      <c r="A27" s="19"/>
      <c r="B27" s="21" t="s">
        <v>28</v>
      </c>
      <c r="C27" s="22" t="s">
        <v>29</v>
      </c>
      <c r="F27" s="185" t="s">
        <v>30</v>
      </c>
    </row>
    <row r="28" spans="1:6" ht="18.75">
      <c r="A28" s="19"/>
      <c r="B28" s="21" t="s">
        <v>31</v>
      </c>
      <c r="C28" s="22" t="s">
        <v>32</v>
      </c>
      <c r="F28" s="185" t="s">
        <v>31</v>
      </c>
    </row>
  </sheetData>
  <mergeCells count="9">
    <mergeCell ref="C20:E20"/>
    <mergeCell ref="C21:E21"/>
    <mergeCell ref="C22:E22"/>
    <mergeCell ref="A1:F1"/>
    <mergeCell ref="A2:F2"/>
    <mergeCell ref="A3:F3"/>
    <mergeCell ref="C17:E17"/>
    <mergeCell ref="C18:E18"/>
    <mergeCell ref="C19:E19"/>
  </mergeCells>
  <pageMargins left="0.7" right="0.7" top="0.75" bottom="0.75" header="0.3" footer="0.3"/>
</worksheet>
</file>

<file path=xl/worksheets/sheet35.xml><?xml version="1.0" encoding="utf-8"?>
<worksheet xmlns="http://schemas.openxmlformats.org/spreadsheetml/2006/main" xmlns:r="http://schemas.openxmlformats.org/officeDocument/2006/relationships">
  <dimension ref="A1:F10"/>
  <sheetViews>
    <sheetView workbookViewId="0">
      <selection activeCell="A3" sqref="A3:F3"/>
    </sheetView>
  </sheetViews>
  <sheetFormatPr defaultColWidth="16.28515625" defaultRowHeight="15"/>
  <cols>
    <col min="1" max="1" width="10" style="19" customWidth="1"/>
    <col min="2" max="2" width="32.7109375" style="19" customWidth="1"/>
    <col min="3" max="3" width="14.42578125" style="19" customWidth="1"/>
    <col min="4" max="4" width="14.140625" style="19" customWidth="1"/>
    <col min="5" max="16384" width="16.28515625" style="19"/>
  </cols>
  <sheetData>
    <row r="1" spans="1:6" ht="18.75">
      <c r="A1" s="380" t="s">
        <v>0</v>
      </c>
      <c r="B1" s="380"/>
      <c r="C1" s="380"/>
      <c r="D1" s="380"/>
      <c r="E1" s="380"/>
      <c r="F1" s="380"/>
    </row>
    <row r="2" spans="1:6" ht="18.75">
      <c r="A2" s="380" t="s">
        <v>33</v>
      </c>
      <c r="B2" s="380"/>
      <c r="C2" s="380"/>
      <c r="D2" s="380"/>
      <c r="E2" s="380"/>
      <c r="F2" s="380"/>
    </row>
    <row r="3" spans="1:6" ht="36.75" customHeight="1">
      <c r="A3" s="529" t="s">
        <v>228</v>
      </c>
      <c r="B3" s="530"/>
      <c r="C3" s="530"/>
      <c r="D3" s="530"/>
      <c r="E3" s="530"/>
      <c r="F3" s="531"/>
    </row>
    <row r="4" spans="1:6">
      <c r="A4" s="153" t="s">
        <v>229</v>
      </c>
      <c r="B4" s="153" t="s">
        <v>230</v>
      </c>
      <c r="C4" s="153" t="s">
        <v>231</v>
      </c>
      <c r="D4" s="153" t="s">
        <v>5</v>
      </c>
      <c r="E4" s="153" t="s">
        <v>38</v>
      </c>
      <c r="F4" s="153" t="s">
        <v>39</v>
      </c>
    </row>
    <row r="5" spans="1:6" ht="49.5" customHeight="1">
      <c r="A5" s="29">
        <v>1</v>
      </c>
      <c r="B5" s="28" t="s">
        <v>232</v>
      </c>
      <c r="C5" s="29">
        <v>40</v>
      </c>
      <c r="D5" s="29" t="s">
        <v>233</v>
      </c>
      <c r="E5" s="29">
        <v>9500</v>
      </c>
      <c r="F5" s="29">
        <f>C5*E5</f>
        <v>380000</v>
      </c>
    </row>
    <row r="6" spans="1:6" ht="24" customHeight="1">
      <c r="A6" s="154"/>
      <c r="B6" s="532" t="s">
        <v>59</v>
      </c>
      <c r="C6" s="532"/>
      <c r="D6" s="532"/>
      <c r="E6" s="532"/>
      <c r="F6" s="29">
        <v>380000</v>
      </c>
    </row>
    <row r="7" spans="1:6" s="23" customFormat="1" ht="18.75" customHeight="1">
      <c r="A7" s="26"/>
      <c r="B7" s="26"/>
      <c r="C7" s="26"/>
      <c r="D7" s="26"/>
      <c r="E7" s="26" t="s">
        <v>60</v>
      </c>
      <c r="F7" s="26">
        <f>F6*18/100</f>
        <v>68400</v>
      </c>
    </row>
    <row r="8" spans="1:6" s="23" customFormat="1" ht="18.75" customHeight="1">
      <c r="A8" s="26"/>
      <c r="B8" s="26"/>
      <c r="C8" s="26"/>
      <c r="D8" s="26"/>
      <c r="E8" s="26"/>
      <c r="F8" s="26">
        <f>F7+F6</f>
        <v>448400</v>
      </c>
    </row>
    <row r="9" spans="1:6" s="23" customFormat="1" ht="18.75" customHeight="1">
      <c r="A9" s="26"/>
      <c r="B9" s="26"/>
      <c r="C9" s="26"/>
      <c r="D9" s="26"/>
      <c r="E9" s="26" t="s">
        <v>61</v>
      </c>
      <c r="F9" s="26">
        <f>F8*1/100</f>
        <v>4484</v>
      </c>
    </row>
    <row r="10" spans="1:6" s="23" customFormat="1" ht="18.75" customHeight="1">
      <c r="A10" s="26"/>
      <c r="B10" s="26"/>
      <c r="C10" s="26"/>
      <c r="D10" s="26"/>
      <c r="E10" s="26" t="s">
        <v>59</v>
      </c>
      <c r="F10" s="26">
        <f>F9+F8</f>
        <v>452884</v>
      </c>
    </row>
  </sheetData>
  <mergeCells count="4">
    <mergeCell ref="A1:F1"/>
    <mergeCell ref="A2:F2"/>
    <mergeCell ref="A3:F3"/>
    <mergeCell ref="B6:E6"/>
  </mergeCells>
  <pageMargins left="0.7" right="0.7" top="0.75" bottom="0.75" header="0.3" footer="0.3"/>
</worksheet>
</file>

<file path=xl/worksheets/sheet36.xml><?xml version="1.0" encoding="utf-8"?>
<worksheet xmlns="http://schemas.openxmlformats.org/spreadsheetml/2006/main" xmlns:r="http://schemas.openxmlformats.org/officeDocument/2006/relationships">
  <dimension ref="A1:F61"/>
  <sheetViews>
    <sheetView topLeftCell="A10" workbookViewId="0">
      <selection activeCell="A3" sqref="A3:F3"/>
    </sheetView>
  </sheetViews>
  <sheetFormatPr defaultRowHeight="15"/>
  <cols>
    <col min="1" max="1" width="10.5703125" customWidth="1"/>
    <col min="2" max="2" width="43.42578125" customWidth="1"/>
    <col min="3" max="3" width="11.7109375" customWidth="1"/>
    <col min="4" max="4" width="5.42578125" bestFit="1" customWidth="1"/>
    <col min="5" max="5" width="14.28515625" customWidth="1"/>
    <col min="6" max="6" width="25.5703125" bestFit="1" customWidth="1"/>
  </cols>
  <sheetData>
    <row r="1" spans="1:6" ht="39" customHeight="1">
      <c r="A1" s="535" t="s">
        <v>62</v>
      </c>
      <c r="B1" s="536"/>
      <c r="C1" s="536"/>
      <c r="D1" s="536"/>
      <c r="E1" s="536"/>
      <c r="F1" s="537"/>
    </row>
    <row r="2" spans="1:6" ht="24.75" customHeight="1">
      <c r="A2" s="538" t="s">
        <v>279</v>
      </c>
      <c r="B2" s="539"/>
      <c r="C2" s="539"/>
      <c r="D2" s="539"/>
      <c r="E2" s="539"/>
      <c r="F2" s="540"/>
    </row>
    <row r="3" spans="1:6" ht="43.5" customHeight="1">
      <c r="A3" s="541" t="s">
        <v>280</v>
      </c>
      <c r="B3" s="542"/>
      <c r="C3" s="542"/>
      <c r="D3" s="542"/>
      <c r="E3" s="542"/>
      <c r="F3" s="543"/>
    </row>
    <row r="4" spans="1:6" ht="31.5">
      <c r="A4" s="156" t="s">
        <v>64</v>
      </c>
      <c r="B4" s="206" t="s">
        <v>3</v>
      </c>
      <c r="C4" s="207" t="s">
        <v>4</v>
      </c>
      <c r="D4" s="90" t="s">
        <v>5</v>
      </c>
      <c r="E4" s="208" t="s">
        <v>276</v>
      </c>
      <c r="F4" s="209" t="s">
        <v>277</v>
      </c>
    </row>
    <row r="5" spans="1:6" ht="81" customHeight="1">
      <c r="A5" s="89" t="s">
        <v>281</v>
      </c>
      <c r="B5" s="210" t="s">
        <v>282</v>
      </c>
      <c r="C5" s="211">
        <v>0.85</v>
      </c>
      <c r="D5" s="102" t="s">
        <v>158</v>
      </c>
      <c r="E5" s="208">
        <v>955.89</v>
      </c>
      <c r="F5" s="209">
        <v>812.14</v>
      </c>
    </row>
    <row r="6" spans="1:6" s="81" customFormat="1" ht="172.5" customHeight="1">
      <c r="A6" s="89" t="s">
        <v>283</v>
      </c>
      <c r="B6" s="210" t="s">
        <v>209</v>
      </c>
      <c r="C6" s="212">
        <v>6.57</v>
      </c>
      <c r="D6" s="102" t="s">
        <v>158</v>
      </c>
      <c r="E6" s="212">
        <v>167.33</v>
      </c>
      <c r="F6" s="209">
        <v>1099.6300000000001</v>
      </c>
    </row>
    <row r="7" spans="1:6" s="81" customFormat="1" ht="126">
      <c r="A7" s="89" t="s">
        <v>284</v>
      </c>
      <c r="B7" s="213" t="s">
        <v>211</v>
      </c>
      <c r="C7" s="212">
        <v>0.52</v>
      </c>
      <c r="D7" s="102" t="s">
        <v>158</v>
      </c>
      <c r="E7" s="212">
        <v>589.51</v>
      </c>
      <c r="F7" s="209">
        <v>305.52</v>
      </c>
    </row>
    <row r="8" spans="1:6" s="81" customFormat="1" ht="110.25">
      <c r="A8" s="89" t="s">
        <v>285</v>
      </c>
      <c r="B8" s="214" t="s">
        <v>213</v>
      </c>
      <c r="C8" s="212">
        <v>0.86</v>
      </c>
      <c r="D8" s="102" t="s">
        <v>158</v>
      </c>
      <c r="E8" s="212">
        <v>1756.4</v>
      </c>
      <c r="F8" s="209">
        <v>1517.14</v>
      </c>
    </row>
    <row r="9" spans="1:6" s="81" customFormat="1" ht="162" customHeight="1">
      <c r="A9" s="210" t="s">
        <v>286</v>
      </c>
      <c r="B9" s="208" t="s">
        <v>287</v>
      </c>
      <c r="C9" s="212">
        <v>2.4500000000000002</v>
      </c>
      <c r="D9" s="90" t="s">
        <v>158</v>
      </c>
      <c r="E9" s="212">
        <v>6082.45</v>
      </c>
      <c r="F9" s="209">
        <v>14903.81</v>
      </c>
    </row>
    <row r="10" spans="1:6" s="81" customFormat="1" ht="91.5" customHeight="1">
      <c r="A10" s="208" t="s">
        <v>288</v>
      </c>
      <c r="B10" s="208" t="s">
        <v>289</v>
      </c>
      <c r="C10" s="212">
        <v>1.04</v>
      </c>
      <c r="D10" s="215" t="s">
        <v>158</v>
      </c>
      <c r="E10" s="212">
        <v>6308.87</v>
      </c>
      <c r="F10" s="209">
        <v>6539.36</v>
      </c>
    </row>
    <row r="11" spans="1:6" s="81" customFormat="1" ht="93" customHeight="1">
      <c r="A11" s="105" t="s">
        <v>290</v>
      </c>
      <c r="B11" s="213" t="s">
        <v>291</v>
      </c>
      <c r="C11" s="212">
        <v>0.12</v>
      </c>
      <c r="D11" s="215" t="s">
        <v>158</v>
      </c>
      <c r="E11" s="212">
        <v>83314.02</v>
      </c>
      <c r="F11" s="209">
        <v>10257.620000000001</v>
      </c>
    </row>
    <row r="12" spans="1:6" s="81" customFormat="1" ht="156" customHeight="1">
      <c r="A12" s="105" t="str">
        <f>A11</f>
        <v xml:space="preserve">7  5.5.5   </v>
      </c>
      <c r="B12" s="213" t="s">
        <v>291</v>
      </c>
      <c r="C12" s="212">
        <v>0.18</v>
      </c>
      <c r="D12" s="215" t="s">
        <v>10</v>
      </c>
      <c r="E12" s="212">
        <v>82096.539999999994</v>
      </c>
      <c r="F12" s="209">
        <v>15161.59</v>
      </c>
    </row>
    <row r="13" spans="1:6" s="81" customFormat="1" ht="36" customHeight="1">
      <c r="A13" s="208" t="s">
        <v>292</v>
      </c>
      <c r="B13" s="213" t="s">
        <v>293</v>
      </c>
      <c r="C13" s="212"/>
      <c r="D13" s="215"/>
      <c r="E13" s="212"/>
      <c r="F13" s="209"/>
    </row>
    <row r="14" spans="1:6" s="81" customFormat="1" ht="33" customHeight="1">
      <c r="A14" s="105" t="s">
        <v>294</v>
      </c>
      <c r="B14" s="213" t="s">
        <v>295</v>
      </c>
      <c r="C14" s="212">
        <v>16.73</v>
      </c>
      <c r="D14" s="215" t="s">
        <v>172</v>
      </c>
      <c r="E14" s="212">
        <v>194.5</v>
      </c>
      <c r="F14" s="209">
        <v>3253.72</v>
      </c>
    </row>
    <row r="15" spans="1:6" s="81" customFormat="1" ht="15.75">
      <c r="A15" s="89">
        <v>9</v>
      </c>
      <c r="B15" s="216" t="s">
        <v>12</v>
      </c>
      <c r="C15" s="212"/>
      <c r="D15" s="215"/>
      <c r="E15" s="212"/>
      <c r="F15" s="209"/>
    </row>
    <row r="16" spans="1:6" s="81" customFormat="1" ht="15.75">
      <c r="A16" s="105"/>
      <c r="B16" s="90" t="s">
        <v>76</v>
      </c>
      <c r="C16" s="212">
        <v>1.5</v>
      </c>
      <c r="D16" s="215" t="s">
        <v>15</v>
      </c>
      <c r="E16" s="217">
        <v>744.66</v>
      </c>
      <c r="F16" s="209">
        <v>1116.5</v>
      </c>
    </row>
    <row r="17" spans="1:6" s="81" customFormat="1" ht="15.75">
      <c r="A17" s="105"/>
      <c r="B17" s="90" t="s">
        <v>218</v>
      </c>
      <c r="C17" s="212">
        <v>0.52</v>
      </c>
      <c r="D17" s="215" t="s">
        <v>15</v>
      </c>
      <c r="E17" s="217">
        <v>387.54</v>
      </c>
      <c r="F17" s="209">
        <v>200.85</v>
      </c>
    </row>
    <row r="18" spans="1:6" s="81" customFormat="1" ht="15.75">
      <c r="A18" s="105"/>
      <c r="B18" s="93" t="s">
        <v>219</v>
      </c>
      <c r="C18" s="212">
        <v>3</v>
      </c>
      <c r="D18" s="215" t="s">
        <v>15</v>
      </c>
      <c r="E18" s="217">
        <v>342.9</v>
      </c>
      <c r="F18" s="209">
        <v>1028.25</v>
      </c>
    </row>
    <row r="19" spans="1:6" s="81" customFormat="1" ht="15.75">
      <c r="A19" s="105"/>
      <c r="B19" s="93" t="s">
        <v>79</v>
      </c>
      <c r="C19" s="218">
        <v>0.86</v>
      </c>
      <c r="D19" s="215" t="s">
        <v>15</v>
      </c>
      <c r="E19" s="217">
        <v>570.94000000000005</v>
      </c>
      <c r="F19" s="209">
        <v>493.17</v>
      </c>
    </row>
    <row r="20" spans="1:6" s="81" customFormat="1" ht="15.75">
      <c r="A20" s="105"/>
      <c r="B20" s="209" t="s">
        <v>80</v>
      </c>
      <c r="C20" s="212">
        <v>6.57</v>
      </c>
      <c r="D20" s="215" t="s">
        <v>15</v>
      </c>
      <c r="E20" s="219">
        <v>117.54</v>
      </c>
      <c r="F20" s="209">
        <v>772.43</v>
      </c>
    </row>
    <row r="21" spans="1:6" ht="15.75">
      <c r="A21" s="105"/>
      <c r="B21" s="105"/>
      <c r="C21" s="533" t="s">
        <v>59</v>
      </c>
      <c r="D21" s="533"/>
      <c r="E21" s="534"/>
      <c r="F21" s="93">
        <f>SUM(F6:F20)</f>
        <v>56649.59</v>
      </c>
    </row>
    <row r="22" spans="1:6" ht="15.75">
      <c r="A22" s="220"/>
      <c r="B22" s="105"/>
      <c r="C22" s="533" t="s">
        <v>296</v>
      </c>
      <c r="D22" s="533"/>
      <c r="E22" s="534"/>
      <c r="F22" s="93">
        <f>F21*18%</f>
        <v>10196.9262</v>
      </c>
    </row>
    <row r="23" spans="1:6" ht="15.75">
      <c r="A23" s="105"/>
      <c r="B23" s="105"/>
      <c r="C23" s="221"/>
      <c r="D23" s="221"/>
      <c r="E23" s="222" t="s">
        <v>59</v>
      </c>
      <c r="F23" s="93">
        <f>F21+F22</f>
        <v>66846.516199999998</v>
      </c>
    </row>
    <row r="24" spans="1:6" ht="15.75">
      <c r="A24" s="105"/>
      <c r="B24" s="105"/>
      <c r="C24" s="533" t="s">
        <v>297</v>
      </c>
      <c r="D24" s="533"/>
      <c r="E24" s="534"/>
      <c r="F24" s="93">
        <f>F23*1%</f>
        <v>668.46516199999996</v>
      </c>
    </row>
    <row r="25" spans="1:6" ht="15.75">
      <c r="A25" s="105"/>
      <c r="B25" s="105"/>
      <c r="C25" s="533" t="s">
        <v>59</v>
      </c>
      <c r="D25" s="533"/>
      <c r="E25" s="534"/>
      <c r="F25" s="93">
        <f>F23+F24</f>
        <v>67514.981361999991</v>
      </c>
    </row>
    <row r="26" spans="1:6" ht="15.75">
      <c r="A26" s="105"/>
      <c r="B26" s="105"/>
      <c r="C26" s="533"/>
      <c r="D26" s="533"/>
      <c r="E26" s="534"/>
      <c r="F26" s="223"/>
    </row>
    <row r="27" spans="1:6" ht="15.75">
      <c r="A27" s="224"/>
      <c r="B27" s="16"/>
      <c r="C27" s="16"/>
      <c r="D27" s="16"/>
      <c r="E27" s="16"/>
      <c r="F27" s="205"/>
    </row>
    <row r="28" spans="1:6" ht="44.25" customHeight="1">
      <c r="A28" s="224"/>
      <c r="B28" s="16"/>
      <c r="C28" s="16"/>
      <c r="D28" s="16"/>
      <c r="E28" s="16"/>
      <c r="F28" s="205"/>
    </row>
    <row r="29" spans="1:6" ht="21">
      <c r="A29" s="224"/>
      <c r="B29" s="225"/>
      <c r="C29" s="226"/>
      <c r="D29" s="226"/>
      <c r="E29" s="226"/>
      <c r="F29" s="225"/>
    </row>
    <row r="30" spans="1:6" ht="21">
      <c r="A30" s="224"/>
      <c r="B30" s="225"/>
      <c r="C30" s="226"/>
      <c r="D30" s="226"/>
      <c r="E30" s="226"/>
      <c r="F30" s="225"/>
    </row>
    <row r="31" spans="1:6">
      <c r="C31" s="201"/>
      <c r="D31" s="201"/>
      <c r="E31" s="201"/>
      <c r="F31" s="201"/>
    </row>
    <row r="32" spans="1:6">
      <c r="C32" s="201"/>
      <c r="D32" s="201"/>
      <c r="E32" s="201"/>
      <c r="F32" s="201"/>
    </row>
    <row r="33" spans="3:6">
      <c r="C33" s="201"/>
      <c r="D33" s="201"/>
      <c r="E33" s="201"/>
      <c r="F33" s="201"/>
    </row>
    <row r="34" spans="3:6">
      <c r="C34" s="201"/>
      <c r="D34" s="201"/>
      <c r="E34" s="201"/>
      <c r="F34" s="201"/>
    </row>
    <row r="35" spans="3:6">
      <c r="C35" s="201"/>
      <c r="D35" s="201"/>
      <c r="E35" s="201"/>
      <c r="F35" s="201"/>
    </row>
    <row r="36" spans="3:6">
      <c r="C36" s="201"/>
      <c r="D36" s="201"/>
      <c r="E36" s="201"/>
      <c r="F36" s="201"/>
    </row>
    <row r="37" spans="3:6">
      <c r="C37" s="201"/>
      <c r="D37" s="201"/>
      <c r="E37" s="201"/>
      <c r="F37" s="201"/>
    </row>
    <row r="38" spans="3:6">
      <c r="C38" s="201"/>
      <c r="D38" s="201"/>
      <c r="E38" s="201"/>
      <c r="F38" s="201"/>
    </row>
    <row r="39" spans="3:6">
      <c r="C39" s="201"/>
      <c r="D39" s="201"/>
      <c r="E39" s="201"/>
      <c r="F39" s="201"/>
    </row>
    <row r="40" spans="3:6">
      <c r="C40" s="201"/>
      <c r="D40" s="201"/>
      <c r="E40" s="201"/>
      <c r="F40" s="201"/>
    </row>
    <row r="41" spans="3:6">
      <c r="C41" s="201"/>
      <c r="D41" s="201"/>
      <c r="E41" s="201"/>
      <c r="F41" s="201"/>
    </row>
    <row r="42" spans="3:6">
      <c r="C42" s="201"/>
      <c r="D42" s="201"/>
      <c r="E42" s="201"/>
      <c r="F42" s="201"/>
    </row>
    <row r="43" spans="3:6">
      <c r="C43" s="201"/>
      <c r="D43" s="201"/>
      <c r="E43" s="201"/>
      <c r="F43" s="201"/>
    </row>
    <row r="44" spans="3:6">
      <c r="C44" s="201"/>
      <c r="D44" s="201"/>
      <c r="E44" s="201"/>
      <c r="F44" s="201"/>
    </row>
    <row r="45" spans="3:6">
      <c r="C45" s="201"/>
      <c r="D45" s="201"/>
      <c r="E45" s="201"/>
      <c r="F45" s="201"/>
    </row>
    <row r="46" spans="3:6">
      <c r="C46" s="201"/>
      <c r="D46" s="201"/>
      <c r="E46" s="201"/>
      <c r="F46" s="201"/>
    </row>
    <row r="47" spans="3:6">
      <c r="C47" s="201"/>
      <c r="D47" s="201"/>
      <c r="E47" s="201"/>
      <c r="F47" s="201"/>
    </row>
    <row r="48" spans="3:6">
      <c r="C48" s="201"/>
      <c r="D48" s="201"/>
      <c r="E48" s="201"/>
      <c r="F48" s="201"/>
    </row>
    <row r="49" spans="3:6">
      <c r="C49" s="201"/>
      <c r="D49" s="201"/>
      <c r="E49" s="201"/>
      <c r="F49" s="201"/>
    </row>
    <row r="50" spans="3:6">
      <c r="C50" s="201"/>
      <c r="D50" s="201"/>
      <c r="E50" s="201"/>
      <c r="F50" s="201"/>
    </row>
    <row r="51" spans="3:6">
      <c r="C51" s="201"/>
      <c r="D51" s="201"/>
      <c r="E51" s="201"/>
      <c r="F51" s="201"/>
    </row>
    <row r="52" spans="3:6">
      <c r="C52" s="201"/>
      <c r="D52" s="201"/>
      <c r="E52" s="201"/>
      <c r="F52" s="201"/>
    </row>
    <row r="53" spans="3:6">
      <c r="C53" s="201"/>
      <c r="D53" s="201"/>
      <c r="E53" s="201"/>
      <c r="F53" s="201"/>
    </row>
    <row r="54" spans="3:6">
      <c r="C54" s="201"/>
      <c r="D54" s="201"/>
      <c r="E54" s="201"/>
      <c r="F54" s="201"/>
    </row>
    <row r="55" spans="3:6">
      <c r="C55" s="201"/>
      <c r="D55" s="201"/>
      <c r="E55" s="201"/>
      <c r="F55" s="201"/>
    </row>
    <row r="56" spans="3:6">
      <c r="C56" s="201"/>
      <c r="D56" s="201"/>
      <c r="E56" s="201"/>
      <c r="F56" s="201"/>
    </row>
    <row r="57" spans="3:6">
      <c r="C57" s="201"/>
      <c r="D57" s="201"/>
      <c r="E57" s="201"/>
      <c r="F57" s="201"/>
    </row>
    <row r="58" spans="3:6">
      <c r="C58" s="201"/>
      <c r="D58" s="201"/>
      <c r="E58" s="201"/>
      <c r="F58" s="201"/>
    </row>
    <row r="59" spans="3:6">
      <c r="C59" s="201"/>
      <c r="D59" s="201"/>
      <c r="E59" s="201"/>
      <c r="F59" s="201"/>
    </row>
    <row r="60" spans="3:6">
      <c r="C60" s="201"/>
      <c r="D60" s="201"/>
      <c r="E60" s="201"/>
      <c r="F60" s="201"/>
    </row>
    <row r="61" spans="3:6">
      <c r="C61" s="201"/>
      <c r="D61" s="201"/>
      <c r="E61" s="201"/>
      <c r="F61" s="201"/>
    </row>
  </sheetData>
  <mergeCells count="8">
    <mergeCell ref="C25:E25"/>
    <mergeCell ref="C26:E26"/>
    <mergeCell ref="A1:F1"/>
    <mergeCell ref="A2:F2"/>
    <mergeCell ref="A3:F3"/>
    <mergeCell ref="C21:E21"/>
    <mergeCell ref="C22:E22"/>
    <mergeCell ref="C24:E24"/>
  </mergeCells>
  <pageMargins left="0.7" right="0.7" top="0.75" bottom="0.75" header="0.3" footer="0.3"/>
</worksheet>
</file>

<file path=xl/worksheets/sheet37.xml><?xml version="1.0" encoding="utf-8"?>
<worksheet xmlns="http://schemas.openxmlformats.org/spreadsheetml/2006/main" xmlns:r="http://schemas.openxmlformats.org/officeDocument/2006/relationships">
  <dimension ref="A1:F52"/>
  <sheetViews>
    <sheetView workbookViewId="0">
      <selection activeCell="A3" sqref="A3:F3"/>
    </sheetView>
  </sheetViews>
  <sheetFormatPr defaultRowHeight="15"/>
  <cols>
    <col min="1" max="1" width="9" customWidth="1"/>
    <col min="2" max="2" width="44.140625" customWidth="1"/>
    <col min="3" max="3" width="11.7109375" customWidth="1"/>
    <col min="4" max="4" width="5.28515625" customWidth="1"/>
    <col min="5" max="5" width="11.7109375" customWidth="1"/>
    <col min="6" max="6" width="20.28515625" customWidth="1"/>
  </cols>
  <sheetData>
    <row r="1" spans="1:6">
      <c r="A1" s="546" t="s">
        <v>62</v>
      </c>
      <c r="B1" s="547"/>
      <c r="C1" s="547"/>
      <c r="D1" s="547"/>
      <c r="E1" s="547"/>
      <c r="F1" s="547"/>
    </row>
    <row r="2" spans="1:6">
      <c r="A2" s="548" t="s">
        <v>75</v>
      </c>
      <c r="B2" s="548"/>
      <c r="C2" s="548"/>
      <c r="D2" s="548"/>
      <c r="E2" s="548"/>
      <c r="F2" s="548"/>
    </row>
    <row r="3" spans="1:6" ht="33" customHeight="1">
      <c r="A3" s="549" t="s">
        <v>275</v>
      </c>
      <c r="B3" s="549"/>
      <c r="C3" s="549"/>
      <c r="D3" s="549"/>
      <c r="E3" s="549"/>
      <c r="F3" s="549"/>
    </row>
    <row r="4" spans="1:6" ht="30">
      <c r="A4" s="28" t="s">
        <v>64</v>
      </c>
      <c r="B4" s="29" t="s">
        <v>3</v>
      </c>
      <c r="C4" s="187" t="s">
        <v>4</v>
      </c>
      <c r="D4" s="29" t="s">
        <v>5</v>
      </c>
      <c r="E4" s="143" t="s">
        <v>276</v>
      </c>
      <c r="F4" s="150" t="s">
        <v>277</v>
      </c>
    </row>
    <row r="5" spans="1:6" ht="87" customHeight="1">
      <c r="A5" s="28" t="s">
        <v>208</v>
      </c>
      <c r="B5" s="138" t="s">
        <v>209</v>
      </c>
      <c r="C5" s="144">
        <v>45.53</v>
      </c>
      <c r="D5" s="134" t="s">
        <v>15</v>
      </c>
      <c r="E5" s="134">
        <v>167.33</v>
      </c>
      <c r="F5" s="134">
        <f>C5*E5</f>
        <v>7618.5349000000006</v>
      </c>
    </row>
    <row r="6" spans="1:6" ht="105.75" customHeight="1">
      <c r="A6" s="28" t="s">
        <v>210</v>
      </c>
      <c r="B6" s="139" t="s">
        <v>211</v>
      </c>
      <c r="C6" s="134">
        <v>16.989999999999998</v>
      </c>
      <c r="D6" s="134" t="s">
        <v>15</v>
      </c>
      <c r="E6" s="134">
        <v>589.51</v>
      </c>
      <c r="F6" s="134">
        <f>PRODUCT(C6,E6)</f>
        <v>10015.774899999999</v>
      </c>
    </row>
    <row r="7" spans="1:6" ht="90">
      <c r="A7" s="28" t="s">
        <v>212</v>
      </c>
      <c r="B7" s="140" t="s">
        <v>213</v>
      </c>
      <c r="C7" s="134">
        <v>28.315999999999999</v>
      </c>
      <c r="D7" s="134" t="s">
        <v>15</v>
      </c>
      <c r="E7" s="134">
        <v>1756.4</v>
      </c>
      <c r="F7" s="134">
        <f>PRODUCT(C7,E7)</f>
        <v>49734.222399999999</v>
      </c>
    </row>
    <row r="8" spans="1:6" ht="60">
      <c r="A8" s="141" t="s">
        <v>214</v>
      </c>
      <c r="B8" s="142" t="s">
        <v>215</v>
      </c>
      <c r="C8" s="134">
        <v>31.6</v>
      </c>
      <c r="D8" s="134" t="s">
        <v>91</v>
      </c>
      <c r="E8" s="29">
        <v>194.5</v>
      </c>
      <c r="F8" s="134">
        <f>PRODUCT(C8,E8)</f>
        <v>6146.2000000000007</v>
      </c>
    </row>
    <row r="9" spans="1:6" ht="90">
      <c r="A9" s="143" t="s">
        <v>278</v>
      </c>
      <c r="B9" s="143" t="s">
        <v>217</v>
      </c>
      <c r="C9" s="144">
        <v>48.145000000000003</v>
      </c>
      <c r="D9" s="134" t="s">
        <v>158</v>
      </c>
      <c r="E9" s="134">
        <v>4961.7299999999996</v>
      </c>
      <c r="F9" s="134">
        <f>PRODUCT(C9,E9)</f>
        <v>238882.49085</v>
      </c>
    </row>
    <row r="10" spans="1:6">
      <c r="A10" s="28">
        <v>6</v>
      </c>
      <c r="B10" s="145" t="s">
        <v>12</v>
      </c>
      <c r="C10" s="146"/>
      <c r="D10" s="147"/>
      <c r="E10" s="148"/>
      <c r="F10" s="146"/>
    </row>
    <row r="11" spans="1:6">
      <c r="A11" s="141"/>
      <c r="B11" s="29" t="s">
        <v>76</v>
      </c>
      <c r="C11" s="147">
        <v>20.7</v>
      </c>
      <c r="D11" s="147" t="s">
        <v>15</v>
      </c>
      <c r="E11" s="134">
        <v>744.66</v>
      </c>
      <c r="F11" s="147">
        <f>PRODUCT(C11:E11)</f>
        <v>15414.462</v>
      </c>
    </row>
    <row r="12" spans="1:6">
      <c r="A12" s="141"/>
      <c r="B12" s="29" t="s">
        <v>218</v>
      </c>
      <c r="C12" s="147">
        <v>16.989999999999998</v>
      </c>
      <c r="D12" s="147" t="s">
        <v>15</v>
      </c>
      <c r="E12" s="134">
        <v>387.54</v>
      </c>
      <c r="F12" s="147">
        <f>PRODUCT(C12:E12)</f>
        <v>6584.3045999999995</v>
      </c>
    </row>
    <row r="13" spans="1:6">
      <c r="A13" s="141"/>
      <c r="B13" s="134" t="s">
        <v>219</v>
      </c>
      <c r="C13" s="147">
        <v>41.4</v>
      </c>
      <c r="D13" s="147" t="s">
        <v>15</v>
      </c>
      <c r="E13" s="134">
        <v>342.9</v>
      </c>
      <c r="F13" s="147">
        <f>PRODUCT(C13:E13)</f>
        <v>14196.059999999998</v>
      </c>
    </row>
    <row r="14" spans="1:6">
      <c r="A14" s="141"/>
      <c r="B14" s="134" t="s">
        <v>79</v>
      </c>
      <c r="C14" s="149">
        <v>28.32</v>
      </c>
      <c r="D14" s="147" t="s">
        <v>15</v>
      </c>
      <c r="E14" s="134">
        <v>570.94000000000005</v>
      </c>
      <c r="F14" s="147">
        <f>PRODUCT(C14:E14)</f>
        <v>16169.020800000002</v>
      </c>
    </row>
    <row r="15" spans="1:6">
      <c r="A15" s="141"/>
      <c r="B15" s="150" t="s">
        <v>80</v>
      </c>
      <c r="C15" s="147">
        <v>45.53</v>
      </c>
      <c r="D15" s="147" t="s">
        <v>15</v>
      </c>
      <c r="E15" s="150">
        <v>117.54</v>
      </c>
      <c r="F15" s="147">
        <f>PRODUCT(C15:E15)</f>
        <v>5351.5962000000009</v>
      </c>
    </row>
    <row r="16" spans="1:6">
      <c r="A16" s="141"/>
      <c r="B16" s="141"/>
      <c r="C16" s="544" t="s">
        <v>59</v>
      </c>
      <c r="D16" s="544"/>
      <c r="E16" s="545"/>
      <c r="F16" s="134">
        <f>SUM(F5:F15)</f>
        <v>370112.66665000003</v>
      </c>
    </row>
    <row r="17" spans="1:6">
      <c r="A17" s="141"/>
      <c r="B17" s="141"/>
      <c r="C17" s="544" t="s">
        <v>220</v>
      </c>
      <c r="D17" s="544"/>
      <c r="E17" s="545"/>
      <c r="F17" s="134">
        <f>F16*18%</f>
        <v>66620.279997000005</v>
      </c>
    </row>
    <row r="18" spans="1:6">
      <c r="A18" s="141"/>
      <c r="B18" s="141"/>
      <c r="C18" s="157"/>
      <c r="D18" s="157"/>
      <c r="E18" s="158" t="s">
        <v>59</v>
      </c>
      <c r="F18" s="134">
        <f>F16+F17</f>
        <v>436732.94664700003</v>
      </c>
    </row>
    <row r="19" spans="1:6">
      <c r="A19" s="141"/>
      <c r="B19" s="141"/>
      <c r="C19" s="544" t="s">
        <v>221</v>
      </c>
      <c r="D19" s="544"/>
      <c r="E19" s="545"/>
      <c r="F19" s="134">
        <f>PRODUCT(F18,0.01)</f>
        <v>4367.3294664700006</v>
      </c>
    </row>
    <row r="20" spans="1:6">
      <c r="A20" s="141"/>
      <c r="B20" s="141"/>
      <c r="C20" s="544" t="s">
        <v>59</v>
      </c>
      <c r="D20" s="544"/>
      <c r="E20" s="545"/>
      <c r="F20" s="134">
        <f>F18+F19</f>
        <v>441100.27611347003</v>
      </c>
    </row>
    <row r="21" spans="1:6" ht="15.75">
      <c r="A21" s="204"/>
      <c r="B21" s="205"/>
      <c r="C21" s="205"/>
      <c r="D21" s="205"/>
      <c r="E21" s="205"/>
      <c r="F21" s="205"/>
    </row>
    <row r="22" spans="1:6" ht="15.75">
      <c r="A22" s="204"/>
      <c r="B22" s="205"/>
      <c r="C22" s="205"/>
      <c r="D22" s="205"/>
      <c r="E22" s="205"/>
      <c r="F22" s="205"/>
    </row>
    <row r="23" spans="1:6">
      <c r="C23" s="201"/>
      <c r="D23" s="201"/>
      <c r="E23" s="201"/>
      <c r="F23" s="201"/>
    </row>
    <row r="24" spans="1:6">
      <c r="C24" s="201"/>
      <c r="D24" s="201"/>
      <c r="E24" s="201"/>
      <c r="F24" s="201"/>
    </row>
    <row r="25" spans="1:6">
      <c r="C25" s="201"/>
      <c r="D25" s="201"/>
      <c r="E25" s="201"/>
      <c r="F25" s="201"/>
    </row>
    <row r="26" spans="1:6">
      <c r="C26" s="201"/>
      <c r="D26" s="201"/>
      <c r="E26" s="201"/>
      <c r="F26" s="201"/>
    </row>
    <row r="27" spans="1:6">
      <c r="C27" s="201"/>
      <c r="D27" s="201"/>
      <c r="E27" s="201"/>
      <c r="F27" s="201"/>
    </row>
    <row r="28" spans="1:6">
      <c r="C28" s="201"/>
      <c r="D28" s="201"/>
      <c r="E28" s="201"/>
      <c r="F28" s="201"/>
    </row>
    <row r="29" spans="1:6">
      <c r="C29" s="201"/>
      <c r="D29" s="201"/>
      <c r="E29" s="201"/>
      <c r="F29" s="201"/>
    </row>
    <row r="30" spans="1:6">
      <c r="C30" s="201"/>
      <c r="D30" s="201"/>
      <c r="E30" s="201"/>
      <c r="F30" s="201"/>
    </row>
    <row r="31" spans="1:6">
      <c r="C31" s="201"/>
      <c r="D31" s="201"/>
      <c r="E31" s="201"/>
      <c r="F31" s="201"/>
    </row>
    <row r="32" spans="1:6">
      <c r="C32" s="201"/>
      <c r="D32" s="201"/>
      <c r="E32" s="201"/>
      <c r="F32" s="201"/>
    </row>
    <row r="33" spans="3:6">
      <c r="C33" s="201"/>
      <c r="D33" s="201"/>
      <c r="E33" s="201"/>
      <c r="F33" s="201"/>
    </row>
    <row r="34" spans="3:6">
      <c r="C34" s="201"/>
      <c r="D34" s="201"/>
      <c r="E34" s="201"/>
      <c r="F34" s="201"/>
    </row>
    <row r="35" spans="3:6">
      <c r="C35" s="201"/>
      <c r="D35" s="201"/>
      <c r="E35" s="201"/>
      <c r="F35" s="201"/>
    </row>
    <row r="36" spans="3:6">
      <c r="C36" s="201"/>
      <c r="D36" s="201"/>
      <c r="E36" s="201"/>
      <c r="F36" s="201"/>
    </row>
    <row r="37" spans="3:6">
      <c r="C37" s="201"/>
      <c r="D37" s="201"/>
      <c r="E37" s="201"/>
      <c r="F37" s="201"/>
    </row>
    <row r="38" spans="3:6">
      <c r="C38" s="201"/>
      <c r="D38" s="201"/>
      <c r="E38" s="201"/>
      <c r="F38" s="201"/>
    </row>
    <row r="39" spans="3:6">
      <c r="C39" s="201"/>
      <c r="D39" s="201"/>
      <c r="E39" s="201"/>
      <c r="F39" s="201"/>
    </row>
    <row r="40" spans="3:6">
      <c r="C40" s="201"/>
      <c r="D40" s="201"/>
      <c r="E40" s="201"/>
      <c r="F40" s="201"/>
    </row>
    <row r="41" spans="3:6">
      <c r="C41" s="201"/>
      <c r="D41" s="201"/>
      <c r="E41" s="201"/>
      <c r="F41" s="201"/>
    </row>
    <row r="42" spans="3:6">
      <c r="C42" s="201"/>
      <c r="D42" s="201"/>
      <c r="E42" s="201"/>
      <c r="F42" s="201"/>
    </row>
    <row r="43" spans="3:6">
      <c r="C43" s="201"/>
      <c r="D43" s="201"/>
      <c r="E43" s="201"/>
      <c r="F43" s="201"/>
    </row>
    <row r="44" spans="3:6">
      <c r="C44" s="201"/>
      <c r="D44" s="201"/>
      <c r="E44" s="201"/>
      <c r="F44" s="201"/>
    </row>
    <row r="45" spans="3:6">
      <c r="C45" s="201"/>
      <c r="D45" s="201"/>
      <c r="E45" s="201"/>
      <c r="F45" s="201"/>
    </row>
    <row r="46" spans="3:6">
      <c r="C46" s="201"/>
      <c r="D46" s="201"/>
      <c r="E46" s="201"/>
      <c r="F46" s="201"/>
    </row>
    <row r="47" spans="3:6">
      <c r="C47" s="201"/>
      <c r="D47" s="201"/>
      <c r="E47" s="201"/>
      <c r="F47" s="201"/>
    </row>
    <row r="48" spans="3:6">
      <c r="C48" s="201"/>
      <c r="D48" s="201"/>
      <c r="E48" s="201"/>
      <c r="F48" s="201"/>
    </row>
    <row r="49" spans="3:6">
      <c r="C49" s="201"/>
      <c r="D49" s="201"/>
      <c r="E49" s="201"/>
      <c r="F49" s="201"/>
    </row>
    <row r="50" spans="3:6">
      <c r="C50" s="201"/>
      <c r="D50" s="201"/>
      <c r="E50" s="201"/>
      <c r="F50" s="201"/>
    </row>
    <row r="51" spans="3:6">
      <c r="C51" s="201"/>
      <c r="D51" s="201"/>
      <c r="E51" s="201"/>
      <c r="F51" s="201"/>
    </row>
    <row r="52" spans="3:6">
      <c r="C52" s="201"/>
      <c r="D52" s="201"/>
      <c r="E52" s="201"/>
      <c r="F52" s="201"/>
    </row>
  </sheetData>
  <mergeCells count="7">
    <mergeCell ref="C20:E20"/>
    <mergeCell ref="A1:F1"/>
    <mergeCell ref="A2:F2"/>
    <mergeCell ref="A3:F3"/>
    <mergeCell ref="C16:E16"/>
    <mergeCell ref="C17:E17"/>
    <mergeCell ref="C19:E19"/>
  </mergeCells>
  <pageMargins left="0.7" right="0.7" top="0.75" bottom="0.75" header="0.3" footer="0.3"/>
</worksheet>
</file>

<file path=xl/worksheets/sheet38.xml><?xml version="1.0" encoding="utf-8"?>
<worksheet xmlns="http://schemas.openxmlformats.org/spreadsheetml/2006/main" xmlns:r="http://schemas.openxmlformats.org/officeDocument/2006/relationships">
  <dimension ref="A1:F20"/>
  <sheetViews>
    <sheetView workbookViewId="0">
      <selection activeCell="A3" sqref="A3:F3"/>
    </sheetView>
  </sheetViews>
  <sheetFormatPr defaultRowHeight="15"/>
  <cols>
    <col min="1" max="1" width="9.140625" style="30"/>
    <col min="2" max="2" width="45.28515625" style="31" customWidth="1"/>
    <col min="3" max="3" width="9.28515625" style="23" customWidth="1"/>
    <col min="4" max="4" width="9.140625" style="32"/>
    <col min="5" max="5" width="9.7109375" style="23" bestFit="1" customWidth="1"/>
    <col min="6" max="6" width="16.42578125" style="33" customWidth="1"/>
    <col min="7" max="16384" width="9.140625" style="23"/>
  </cols>
  <sheetData>
    <row r="1" spans="1:6" ht="18.75">
      <c r="A1" s="380" t="s">
        <v>0</v>
      </c>
      <c r="B1" s="380"/>
      <c r="C1" s="380"/>
      <c r="D1" s="380"/>
      <c r="E1" s="380"/>
      <c r="F1" s="380"/>
    </row>
    <row r="2" spans="1:6" ht="18.75">
      <c r="A2" s="380" t="s">
        <v>33</v>
      </c>
      <c r="B2" s="380"/>
      <c r="C2" s="380"/>
      <c r="D2" s="380"/>
      <c r="E2" s="380"/>
      <c r="F2" s="380"/>
    </row>
    <row r="3" spans="1:6" ht="62.25" customHeight="1">
      <c r="A3" s="550" t="s">
        <v>207</v>
      </c>
      <c r="B3" s="551"/>
      <c r="C3" s="551"/>
      <c r="D3" s="551"/>
      <c r="E3" s="551"/>
      <c r="F3" s="552"/>
    </row>
    <row r="4" spans="1:6">
      <c r="A4" s="24" t="s">
        <v>35</v>
      </c>
      <c r="B4" s="24" t="s">
        <v>36</v>
      </c>
      <c r="C4" s="24" t="s">
        <v>37</v>
      </c>
      <c r="D4" s="24" t="s">
        <v>5</v>
      </c>
      <c r="E4" s="24" t="s">
        <v>38</v>
      </c>
      <c r="F4" s="24" t="s">
        <v>39</v>
      </c>
    </row>
    <row r="5" spans="1:6" customFormat="1" ht="147.75" customHeight="1">
      <c r="A5" s="28" t="s">
        <v>208</v>
      </c>
      <c r="B5" s="138" t="s">
        <v>209</v>
      </c>
      <c r="C5" s="134">
        <v>22.77</v>
      </c>
      <c r="D5" s="134" t="s">
        <v>15</v>
      </c>
      <c r="E5" s="134">
        <v>167.33</v>
      </c>
      <c r="F5" s="134">
        <f>PRODUCT(C5,E5)</f>
        <v>3810.1041</v>
      </c>
    </row>
    <row r="6" spans="1:6" customFormat="1" ht="105.75" customHeight="1">
      <c r="A6" s="28" t="s">
        <v>210</v>
      </c>
      <c r="B6" s="139" t="s">
        <v>211</v>
      </c>
      <c r="C6" s="134">
        <v>2.72</v>
      </c>
      <c r="D6" s="134" t="s">
        <v>15</v>
      </c>
      <c r="E6" s="134">
        <v>589.51</v>
      </c>
      <c r="F6" s="134">
        <f t="shared" ref="F6:F9" si="0">PRODUCT(C6,E6)</f>
        <v>1603.4672</v>
      </c>
    </row>
    <row r="7" spans="1:6" customFormat="1" ht="90">
      <c r="A7" s="28" t="s">
        <v>212</v>
      </c>
      <c r="B7" s="140" t="s">
        <v>213</v>
      </c>
      <c r="C7" s="134">
        <v>14.16</v>
      </c>
      <c r="D7" s="134" t="s">
        <v>15</v>
      </c>
      <c r="E7" s="134">
        <v>1756.4</v>
      </c>
      <c r="F7" s="134">
        <f t="shared" si="0"/>
        <v>24870.624</v>
      </c>
    </row>
    <row r="8" spans="1:6" customFormat="1" ht="60">
      <c r="A8" s="141" t="s">
        <v>214</v>
      </c>
      <c r="B8" s="142" t="s">
        <v>215</v>
      </c>
      <c r="C8" s="134">
        <v>46.47</v>
      </c>
      <c r="D8" s="134" t="s">
        <v>91</v>
      </c>
      <c r="E8" s="29">
        <v>194.5</v>
      </c>
      <c r="F8" s="134">
        <f t="shared" si="0"/>
        <v>9038.4149999999991</v>
      </c>
    </row>
    <row r="9" spans="1:6" customFormat="1" ht="75">
      <c r="A9" s="143" t="s">
        <v>216</v>
      </c>
      <c r="B9" s="143" t="s">
        <v>217</v>
      </c>
      <c r="C9" s="144">
        <v>84.962000000000003</v>
      </c>
      <c r="D9" s="134" t="s">
        <v>158</v>
      </c>
      <c r="E9" s="134">
        <v>4961.7299999999996</v>
      </c>
      <c r="F9" s="134">
        <f t="shared" si="0"/>
        <v>421558.50425999996</v>
      </c>
    </row>
    <row r="10" spans="1:6" customFormat="1">
      <c r="A10" s="28">
        <v>6</v>
      </c>
      <c r="B10" s="145" t="s">
        <v>12</v>
      </c>
      <c r="C10" s="146"/>
      <c r="D10" s="147"/>
      <c r="E10" s="148"/>
      <c r="F10" s="146"/>
    </row>
    <row r="11" spans="1:6" customFormat="1">
      <c r="A11" s="141"/>
      <c r="B11" s="29" t="s">
        <v>76</v>
      </c>
      <c r="C11" s="147">
        <v>36.53</v>
      </c>
      <c r="D11" s="147" t="s">
        <v>15</v>
      </c>
      <c r="E11" s="134">
        <v>744.66</v>
      </c>
      <c r="F11" s="147">
        <f t="shared" ref="F11:F15" si="1">PRODUCT(C11:E11)</f>
        <v>27202.429799999998</v>
      </c>
    </row>
    <row r="12" spans="1:6" customFormat="1">
      <c r="A12" s="141"/>
      <c r="B12" s="29" t="s">
        <v>218</v>
      </c>
      <c r="C12" s="147">
        <v>2.72</v>
      </c>
      <c r="D12" s="147" t="s">
        <v>15</v>
      </c>
      <c r="E12" s="134">
        <v>387.54</v>
      </c>
      <c r="F12" s="147">
        <f t="shared" si="1"/>
        <v>1054.1088000000002</v>
      </c>
    </row>
    <row r="13" spans="1:6" customFormat="1">
      <c r="A13" s="141"/>
      <c r="B13" s="134" t="s">
        <v>219</v>
      </c>
      <c r="C13" s="147">
        <v>73.069999999999993</v>
      </c>
      <c r="D13" s="147" t="s">
        <v>15</v>
      </c>
      <c r="E13" s="134">
        <v>342.9</v>
      </c>
      <c r="F13" s="147">
        <f t="shared" si="1"/>
        <v>25055.702999999998</v>
      </c>
    </row>
    <row r="14" spans="1:6" customFormat="1">
      <c r="A14" s="141"/>
      <c r="B14" s="134" t="s">
        <v>79</v>
      </c>
      <c r="C14" s="149">
        <v>14.16</v>
      </c>
      <c r="D14" s="147" t="s">
        <v>15</v>
      </c>
      <c r="E14" s="134">
        <v>570.94000000000005</v>
      </c>
      <c r="F14" s="147">
        <f t="shared" si="1"/>
        <v>8084.510400000001</v>
      </c>
    </row>
    <row r="15" spans="1:6" customFormat="1">
      <c r="A15" s="141"/>
      <c r="B15" s="150" t="s">
        <v>80</v>
      </c>
      <c r="C15" s="147">
        <v>22.77</v>
      </c>
      <c r="D15" s="147" t="s">
        <v>15</v>
      </c>
      <c r="E15" s="150">
        <v>117.54</v>
      </c>
      <c r="F15" s="147">
        <f t="shared" si="1"/>
        <v>2676.3858</v>
      </c>
    </row>
    <row r="16" spans="1:6" customFormat="1">
      <c r="A16" s="141"/>
      <c r="B16" s="141"/>
      <c r="C16" s="544" t="s">
        <v>59</v>
      </c>
      <c r="D16" s="544"/>
      <c r="E16" s="545"/>
      <c r="F16" s="134">
        <f>SUM(F5:F15)</f>
        <v>524954.25235999993</v>
      </c>
    </row>
    <row r="17" spans="1:6" customFormat="1">
      <c r="A17" s="141"/>
      <c r="B17" s="141"/>
      <c r="C17" s="544" t="s">
        <v>220</v>
      </c>
      <c r="D17" s="544"/>
      <c r="E17" s="545"/>
      <c r="F17" s="134">
        <f>F16*18%</f>
        <v>94491.765424799989</v>
      </c>
    </row>
    <row r="18" spans="1:6" customFormat="1">
      <c r="A18" s="141"/>
      <c r="B18" s="141"/>
      <c r="C18" s="151"/>
      <c r="D18" s="151"/>
      <c r="E18" s="152" t="s">
        <v>59</v>
      </c>
      <c r="F18" s="134">
        <f>F16+F17</f>
        <v>619446.01778479991</v>
      </c>
    </row>
    <row r="19" spans="1:6" customFormat="1">
      <c r="A19" s="141"/>
      <c r="B19" s="141"/>
      <c r="C19" s="544" t="s">
        <v>221</v>
      </c>
      <c r="D19" s="544"/>
      <c r="E19" s="545"/>
      <c r="F19" s="134">
        <f>PRODUCT(F18,0.01)</f>
        <v>6194.4601778479991</v>
      </c>
    </row>
    <row r="20" spans="1:6" customFormat="1">
      <c r="A20" s="141"/>
      <c r="B20" s="141"/>
      <c r="C20" s="544" t="s">
        <v>59</v>
      </c>
      <c r="D20" s="544"/>
      <c r="E20" s="545"/>
      <c r="F20" s="134">
        <f>F18+F19</f>
        <v>625640.47796264791</v>
      </c>
    </row>
  </sheetData>
  <mergeCells count="7">
    <mergeCell ref="C20:E20"/>
    <mergeCell ref="A1:F1"/>
    <mergeCell ref="A2:F2"/>
    <mergeCell ref="A3:F3"/>
    <mergeCell ref="C16:E16"/>
    <mergeCell ref="C17:E17"/>
    <mergeCell ref="C19:E19"/>
  </mergeCells>
  <pageMargins left="0.7" right="0.7" top="0.75" bottom="0.75" header="0.3" footer="0.3"/>
</worksheet>
</file>

<file path=xl/worksheets/sheet39.xml><?xml version="1.0" encoding="utf-8"?>
<worksheet xmlns="http://schemas.openxmlformats.org/spreadsheetml/2006/main" xmlns:r="http://schemas.openxmlformats.org/officeDocument/2006/relationships">
  <dimension ref="A1:F22"/>
  <sheetViews>
    <sheetView tabSelected="1" workbookViewId="0">
      <selection activeCell="I5" sqref="I5"/>
    </sheetView>
  </sheetViews>
  <sheetFormatPr defaultRowHeight="15"/>
  <cols>
    <col min="1" max="1" width="9.140625" style="30"/>
    <col min="2" max="2" width="44.5703125" style="31" customWidth="1"/>
    <col min="3" max="3" width="9.140625" style="23"/>
    <col min="4" max="4" width="9.140625" style="32"/>
    <col min="5" max="5" width="9.140625" style="23"/>
    <col min="6" max="6" width="16.42578125" style="33" customWidth="1"/>
    <col min="7" max="16384" width="9.140625" style="23"/>
  </cols>
  <sheetData>
    <row r="1" spans="1:6" ht="18.75">
      <c r="A1" s="380" t="s">
        <v>0</v>
      </c>
      <c r="B1" s="380"/>
      <c r="C1" s="380"/>
      <c r="D1" s="380"/>
      <c r="E1" s="380"/>
      <c r="F1" s="380"/>
    </row>
    <row r="2" spans="1:6" ht="18.75">
      <c r="A2" s="380" t="s">
        <v>33</v>
      </c>
      <c r="B2" s="380"/>
      <c r="C2" s="380"/>
      <c r="D2" s="380"/>
      <c r="E2" s="380"/>
      <c r="F2" s="380"/>
    </row>
    <row r="3" spans="1:6" ht="75.75" customHeight="1">
      <c r="A3" s="381" t="s">
        <v>222</v>
      </c>
      <c r="B3" s="381"/>
      <c r="C3" s="381"/>
      <c r="D3" s="381"/>
      <c r="E3" s="381"/>
      <c r="F3" s="381"/>
    </row>
    <row r="4" spans="1:6">
      <c r="A4" s="24" t="s">
        <v>35</v>
      </c>
      <c r="B4" s="24" t="s">
        <v>36</v>
      </c>
      <c r="C4" s="24" t="s">
        <v>37</v>
      </c>
      <c r="D4" s="24" t="s">
        <v>5</v>
      </c>
      <c r="E4" s="24" t="s">
        <v>38</v>
      </c>
      <c r="F4" s="24" t="s">
        <v>39</v>
      </c>
    </row>
    <row r="5" spans="1:6" ht="165">
      <c r="A5" s="26" t="s">
        <v>208</v>
      </c>
      <c r="B5" s="26" t="s">
        <v>209</v>
      </c>
      <c r="C5" s="26">
        <v>15.18</v>
      </c>
      <c r="D5" s="26" t="s">
        <v>15</v>
      </c>
      <c r="E5" s="26">
        <v>167.33</v>
      </c>
      <c r="F5" s="26">
        <f>C5*E5</f>
        <v>2540.0694000000003</v>
      </c>
    </row>
    <row r="6" spans="1:6" ht="120">
      <c r="A6" s="26" t="s">
        <v>210</v>
      </c>
      <c r="B6" s="26" t="s">
        <v>211</v>
      </c>
      <c r="C6" s="26">
        <v>8.67</v>
      </c>
      <c r="D6" s="26" t="s">
        <v>15</v>
      </c>
      <c r="E6" s="26">
        <v>589.51</v>
      </c>
      <c r="F6" s="26">
        <f t="shared" ref="F6:F17" si="0">C6*E6</f>
        <v>5111.0517</v>
      </c>
    </row>
    <row r="7" spans="1:6" ht="90">
      <c r="A7" s="26" t="s">
        <v>212</v>
      </c>
      <c r="B7" s="26" t="s">
        <v>213</v>
      </c>
      <c r="C7" s="26">
        <v>21.24</v>
      </c>
      <c r="D7" s="26" t="s">
        <v>15</v>
      </c>
      <c r="E7" s="26">
        <v>1756.4</v>
      </c>
      <c r="F7" s="26">
        <f t="shared" si="0"/>
        <v>37305.936000000002</v>
      </c>
    </row>
    <row r="8" spans="1:6" ht="60">
      <c r="A8" s="26" t="s">
        <v>223</v>
      </c>
      <c r="B8" s="26" t="s">
        <v>215</v>
      </c>
      <c r="C8" s="26">
        <v>39.03</v>
      </c>
      <c r="D8" s="26" t="s">
        <v>91</v>
      </c>
      <c r="E8" s="26">
        <v>194.5</v>
      </c>
      <c r="F8" s="26">
        <f t="shared" si="0"/>
        <v>7591.335</v>
      </c>
    </row>
    <row r="9" spans="1:6" ht="75">
      <c r="A9" s="26" t="s">
        <v>224</v>
      </c>
      <c r="B9" s="26" t="s">
        <v>217</v>
      </c>
      <c r="C9" s="26">
        <v>45.313000000000002</v>
      </c>
      <c r="D9" s="26" t="s">
        <v>158</v>
      </c>
      <c r="E9" s="26">
        <v>4961.7299999999996</v>
      </c>
      <c r="F9" s="26">
        <f t="shared" si="0"/>
        <v>224830.87148999999</v>
      </c>
    </row>
    <row r="10" spans="1:6" customFormat="1" ht="135">
      <c r="A10" s="26" t="s">
        <v>225</v>
      </c>
      <c r="B10" s="26" t="s">
        <v>52</v>
      </c>
      <c r="C10" s="26">
        <v>2.8319999999999999</v>
      </c>
      <c r="D10" s="26" t="s">
        <v>10</v>
      </c>
      <c r="E10" s="26">
        <f>[33]ESTIMATE!I33</f>
        <v>6308.87</v>
      </c>
      <c r="F10" s="26">
        <f t="shared" ref="F10:F11" si="1">ROUND(C10*E10,2)</f>
        <v>17866.72</v>
      </c>
    </row>
    <row r="11" spans="1:6" customFormat="1">
      <c r="A11" s="26"/>
      <c r="B11" s="26" t="s">
        <v>226</v>
      </c>
      <c r="C11" s="26">
        <v>0.27500000000000002</v>
      </c>
      <c r="D11" s="26" t="s">
        <v>10</v>
      </c>
      <c r="E11" s="26">
        <v>82096.539999999994</v>
      </c>
      <c r="F11" s="26">
        <f t="shared" si="1"/>
        <v>22576.55</v>
      </c>
    </row>
    <row r="12" spans="1:6">
      <c r="A12" s="26">
        <v>7</v>
      </c>
      <c r="B12" s="26" t="s">
        <v>12</v>
      </c>
      <c r="C12" s="26"/>
      <c r="D12" s="26"/>
      <c r="E12" s="26"/>
      <c r="F12" s="26"/>
    </row>
    <row r="13" spans="1:6">
      <c r="A13" s="26" t="s">
        <v>145</v>
      </c>
      <c r="B13" s="26" t="s">
        <v>76</v>
      </c>
      <c r="C13" s="26">
        <v>20.7</v>
      </c>
      <c r="D13" s="26" t="s">
        <v>15</v>
      </c>
      <c r="E13" s="26">
        <v>744.66</v>
      </c>
      <c r="F13" s="26">
        <f t="shared" si="0"/>
        <v>15414.462</v>
      </c>
    </row>
    <row r="14" spans="1:6">
      <c r="A14" s="26" t="s">
        <v>147</v>
      </c>
      <c r="B14" s="26" t="s">
        <v>218</v>
      </c>
      <c r="C14" s="26">
        <v>8.67</v>
      </c>
      <c r="D14" s="26" t="s">
        <v>15</v>
      </c>
      <c r="E14" s="26">
        <v>387.54</v>
      </c>
      <c r="F14" s="26">
        <f t="shared" si="0"/>
        <v>3359.9718000000003</v>
      </c>
    </row>
    <row r="15" spans="1:6">
      <c r="A15" s="26" t="s">
        <v>149</v>
      </c>
      <c r="B15" s="26" t="s">
        <v>219</v>
      </c>
      <c r="C15" s="26">
        <v>41.4</v>
      </c>
      <c r="D15" s="26" t="s">
        <v>15</v>
      </c>
      <c r="E15" s="26">
        <v>342.9</v>
      </c>
      <c r="F15" s="26">
        <f t="shared" si="0"/>
        <v>14196.059999999998</v>
      </c>
    </row>
    <row r="16" spans="1:6">
      <c r="A16" s="26" t="s">
        <v>204</v>
      </c>
      <c r="B16" s="26" t="s">
        <v>79</v>
      </c>
      <c r="C16" s="26">
        <v>21.24</v>
      </c>
      <c r="D16" s="26" t="s">
        <v>15</v>
      </c>
      <c r="E16" s="26">
        <v>570.94000000000005</v>
      </c>
      <c r="F16" s="26">
        <f t="shared" si="0"/>
        <v>12126.765600000001</v>
      </c>
    </row>
    <row r="17" spans="1:6">
      <c r="A17" s="26" t="s">
        <v>206</v>
      </c>
      <c r="B17" s="26" t="s">
        <v>80</v>
      </c>
      <c r="C17" s="26">
        <v>15.18</v>
      </c>
      <c r="D17" s="26" t="s">
        <v>15</v>
      </c>
      <c r="E17" s="26">
        <v>117.54</v>
      </c>
      <c r="F17" s="26">
        <f t="shared" si="0"/>
        <v>1784.2572</v>
      </c>
    </row>
    <row r="18" spans="1:6">
      <c r="A18" s="27"/>
      <c r="B18" s="28"/>
      <c r="C18" s="29"/>
      <c r="D18" s="25"/>
      <c r="E18" s="29" t="s">
        <v>59</v>
      </c>
      <c r="F18" s="134">
        <f>SUM(F5:F17)</f>
        <v>364704.05018999992</v>
      </c>
    </row>
    <row r="19" spans="1:6" ht="30">
      <c r="A19" s="27"/>
      <c r="B19" s="28"/>
      <c r="C19" s="29"/>
      <c r="D19" s="25"/>
      <c r="E19" s="26" t="s">
        <v>60</v>
      </c>
      <c r="F19" s="26">
        <f>F18*18/100</f>
        <v>65646.729034199991</v>
      </c>
    </row>
    <row r="20" spans="1:6">
      <c r="A20" s="27"/>
      <c r="B20" s="28"/>
      <c r="C20" s="29"/>
      <c r="D20" s="25"/>
      <c r="E20" s="26"/>
      <c r="F20" s="26">
        <f>F19+F18</f>
        <v>430350.77922419994</v>
      </c>
    </row>
    <row r="21" spans="1:6" ht="30">
      <c r="A21" s="27"/>
      <c r="B21" s="28"/>
      <c r="C21" s="29"/>
      <c r="D21" s="25"/>
      <c r="E21" s="26" t="s">
        <v>61</v>
      </c>
      <c r="F21" s="26">
        <f>F20*1/100</f>
        <v>4303.5077922419996</v>
      </c>
    </row>
    <row r="22" spans="1:6">
      <c r="A22" s="27"/>
      <c r="B22" s="28"/>
      <c r="C22" s="29"/>
      <c r="D22" s="25"/>
      <c r="E22" s="26" t="s">
        <v>227</v>
      </c>
      <c r="F22" s="26">
        <f>F21+F20</f>
        <v>434654.28701644193</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lpstr>Sheet15</vt:lpstr>
      <vt:lpstr>Sheet16</vt:lpstr>
      <vt:lpstr>Sheet17</vt:lpstr>
      <vt:lpstr>Sheet18</vt:lpstr>
      <vt:lpstr>Sheet19</vt:lpstr>
      <vt:lpstr>Sheet20</vt:lpstr>
      <vt:lpstr>Sheet21</vt:lpstr>
      <vt:lpstr>Sheet22</vt:lpstr>
      <vt:lpstr>Sheet23</vt:lpstr>
      <vt:lpstr>Sheet24</vt:lpstr>
      <vt:lpstr>Sheet25</vt:lpstr>
      <vt:lpstr>Sheet26</vt:lpstr>
      <vt:lpstr>Sheet27</vt:lpstr>
      <vt:lpstr>Sheet28</vt:lpstr>
      <vt:lpstr>Sheet29</vt:lpstr>
      <vt:lpstr>Sheet30</vt:lpstr>
      <vt:lpstr>Sheet31</vt:lpstr>
      <vt:lpstr>Sheet32</vt:lpstr>
      <vt:lpstr>Sheet33</vt:lpstr>
      <vt:lpstr>Sheet34</vt:lpstr>
      <vt:lpstr>Sheet35</vt:lpstr>
      <vt:lpstr>Sheet36</vt:lpstr>
      <vt:lpstr>Sheet37</vt:lpstr>
      <vt:lpstr>Sheet38</vt:lpstr>
      <vt:lpstr>Sheet39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2023-01-04T06:47:14Z</dcterms:created>
  <dcterms:modified xsi:type="dcterms:W3CDTF">2023-01-05T14:46:02Z</dcterms:modified>
</cp:coreProperties>
</file>