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25.xml" ContentType="application/vnd.openxmlformats-officedocument.spreadsheetml.externalLink+xml"/>
  <Override PartName="/xl/drawings/drawing2.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worksheets/sheet29.xml" ContentType="application/vnd.openxmlformats-officedocument.spreadsheetml.worksheet+xml"/>
  <Override PartName="/xl/worksheets/sheet38.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Default Extension="jpe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externalLinks/externalLink33.xml" ContentType="application/vnd.openxmlformats-officedocument.spreadsheetml.externalLink+xml"/>
  <Override PartName="/xl/drawings/drawing1.xml" ContentType="application/vnd.openxmlformats-officedocument.drawing+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externalLinks/externalLink3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activeTab="38"/>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calcPr calcId="124519"/>
</workbook>
</file>

<file path=xl/calcChain.xml><?xml version="1.0" encoding="utf-8"?>
<calcChain xmlns="http://schemas.openxmlformats.org/spreadsheetml/2006/main">
  <c r="F20" i="8"/>
  <c r="C20"/>
  <c r="C19"/>
  <c r="F19" s="1"/>
  <c r="F18"/>
  <c r="C18"/>
  <c r="C17"/>
  <c r="F17" s="1"/>
  <c r="F16"/>
  <c r="C16"/>
  <c r="F13"/>
  <c r="F12"/>
  <c r="F21" s="1"/>
  <c r="F4"/>
  <c r="F22" l="1"/>
  <c r="F23"/>
  <c r="F24" l="1"/>
  <c r="F25"/>
  <c r="F21" i="22" l="1"/>
  <c r="F20"/>
  <c r="C20"/>
  <c r="F19"/>
  <c r="C19"/>
  <c r="F18"/>
  <c r="F17"/>
  <c r="C17"/>
  <c r="C16"/>
  <c r="F16" s="1"/>
  <c r="F14"/>
  <c r="C14"/>
  <c r="C13"/>
  <c r="F13" s="1"/>
  <c r="F12"/>
  <c r="F11"/>
  <c r="C11"/>
  <c r="F10"/>
  <c r="C10"/>
  <c r="F9"/>
  <c r="C9"/>
  <c r="F8"/>
  <c r="C8"/>
  <c r="F7"/>
  <c r="C7"/>
  <c r="F6"/>
  <c r="C6"/>
  <c r="F5"/>
  <c r="C5"/>
  <c r="K4"/>
  <c r="F22" l="1"/>
  <c r="F23" l="1"/>
  <c r="F24" s="1"/>
  <c r="F25" l="1"/>
  <c r="F26" s="1"/>
  <c r="C15" i="27" l="1"/>
  <c r="F15" s="1"/>
  <c r="C14"/>
  <c r="F14" s="1"/>
  <c r="C13"/>
  <c r="F13" s="1"/>
  <c r="C12"/>
  <c r="F12" s="1"/>
  <c r="C11"/>
  <c r="F11" s="1"/>
  <c r="C9"/>
  <c r="F9" s="1"/>
  <c r="C8"/>
  <c r="F8" s="1"/>
  <c r="C7"/>
  <c r="F7" s="1"/>
  <c r="C6"/>
  <c r="F6" s="1"/>
  <c r="C5"/>
  <c r="F5" s="1"/>
  <c r="A3" i="14"/>
  <c r="F16" i="1"/>
  <c r="F15"/>
  <c r="F14"/>
  <c r="F13"/>
  <c r="F12"/>
  <c r="F11"/>
  <c r="F10"/>
  <c r="F9"/>
  <c r="F8"/>
  <c r="F7"/>
  <c r="F6"/>
  <c r="F5"/>
  <c r="F4"/>
  <c r="F17" s="1"/>
  <c r="C15" i="2"/>
  <c r="F15" s="1"/>
  <c r="C14"/>
  <c r="F14" s="1"/>
  <c r="C13"/>
  <c r="F13" s="1"/>
  <c r="C12"/>
  <c r="F12" s="1"/>
  <c r="C11"/>
  <c r="F11" s="1"/>
  <c r="E9"/>
  <c r="C9"/>
  <c r="F9" s="1"/>
  <c r="B9"/>
  <c r="A9"/>
  <c r="E8"/>
  <c r="C8"/>
  <c r="F8" s="1"/>
  <c r="B8"/>
  <c r="A8"/>
  <c r="E7"/>
  <c r="C7"/>
  <c r="F7" s="1"/>
  <c r="B7"/>
  <c r="A7"/>
  <c r="E6"/>
  <c r="C6"/>
  <c r="F6" s="1"/>
  <c r="B6"/>
  <c r="A6"/>
  <c r="F5"/>
  <c r="E5"/>
  <c r="D5"/>
  <c r="C5"/>
  <c r="B5"/>
  <c r="A5"/>
  <c r="A3"/>
  <c r="F16" i="27" l="1"/>
  <c r="F18" i="1"/>
  <c r="F19" s="1"/>
  <c r="F16" i="2"/>
  <c r="F17" i="27" l="1"/>
  <c r="F18" s="1"/>
  <c r="F20" i="1"/>
  <c r="F21" s="1"/>
  <c r="F17" i="2"/>
  <c r="F18" s="1"/>
  <c r="F19" i="27" l="1"/>
  <c r="F20" s="1"/>
  <c r="F19" i="2"/>
  <c r="F20" s="1"/>
  <c r="F21" s="1"/>
  <c r="E20" i="5" l="1"/>
  <c r="C20"/>
  <c r="E19"/>
  <c r="C19"/>
  <c r="E18"/>
  <c r="C18"/>
  <c r="E17"/>
  <c r="C17"/>
  <c r="B17"/>
  <c r="E16"/>
  <c r="C16"/>
  <c r="F14"/>
  <c r="E14"/>
  <c r="D14"/>
  <c r="C14"/>
  <c r="B14"/>
  <c r="A14"/>
  <c r="F13"/>
  <c r="E13"/>
  <c r="C13"/>
  <c r="B13"/>
  <c r="A13"/>
  <c r="F12"/>
  <c r="E12"/>
  <c r="D12"/>
  <c r="D13" s="1"/>
  <c r="C12"/>
  <c r="B12"/>
  <c r="A12"/>
  <c r="B11"/>
  <c r="A11"/>
  <c r="F10"/>
  <c r="E10"/>
  <c r="D10"/>
  <c r="C10"/>
  <c r="B10"/>
  <c r="A10"/>
  <c r="E9"/>
  <c r="C9"/>
  <c r="F9" s="1"/>
  <c r="B9"/>
  <c r="A9"/>
  <c r="E8"/>
  <c r="C8"/>
  <c r="B8"/>
  <c r="A8"/>
  <c r="E7"/>
  <c r="C7"/>
  <c r="B7"/>
  <c r="A7"/>
  <c r="E6"/>
  <c r="D6"/>
  <c r="C6"/>
  <c r="F6" s="1"/>
  <c r="B6"/>
  <c r="A6"/>
  <c r="E5"/>
  <c r="D5"/>
  <c r="C5"/>
  <c r="F5" s="1"/>
  <c r="B5"/>
  <c r="A5"/>
  <c r="A3"/>
  <c r="E20" i="4"/>
  <c r="C20"/>
  <c r="F20" s="1"/>
  <c r="E19"/>
  <c r="C19"/>
  <c r="F19" s="1"/>
  <c r="E18"/>
  <c r="C18"/>
  <c r="F18" s="1"/>
  <c r="E17"/>
  <c r="C17"/>
  <c r="F17" s="1"/>
  <c r="B17"/>
  <c r="E16"/>
  <c r="C16"/>
  <c r="F14"/>
  <c r="E14"/>
  <c r="D14"/>
  <c r="C14"/>
  <c r="B14"/>
  <c r="A14"/>
  <c r="F13"/>
  <c r="E13"/>
  <c r="C13"/>
  <c r="B13"/>
  <c r="A13"/>
  <c r="F12"/>
  <c r="E12"/>
  <c r="D12"/>
  <c r="D13" s="1"/>
  <c r="C12"/>
  <c r="B12"/>
  <c r="A12"/>
  <c r="B11"/>
  <c r="A11"/>
  <c r="F10"/>
  <c r="E10"/>
  <c r="D10"/>
  <c r="C10"/>
  <c r="B10"/>
  <c r="A10"/>
  <c r="E9"/>
  <c r="C9"/>
  <c r="F9" s="1"/>
  <c r="B9"/>
  <c r="A9"/>
  <c r="E8"/>
  <c r="C8"/>
  <c r="F8" s="1"/>
  <c r="B8"/>
  <c r="A8"/>
  <c r="E7"/>
  <c r="C7"/>
  <c r="F7" s="1"/>
  <c r="B7"/>
  <c r="A7"/>
  <c r="E6"/>
  <c r="D6"/>
  <c r="C6"/>
  <c r="F6" s="1"/>
  <c r="B6"/>
  <c r="A6"/>
  <c r="E5"/>
  <c r="D5"/>
  <c r="C5"/>
  <c r="F5" s="1"/>
  <c r="B5"/>
  <c r="A5"/>
  <c r="A3"/>
  <c r="F21" l="1"/>
  <c r="F16"/>
  <c r="F7" i="5"/>
  <c r="F8"/>
  <c r="F21" s="1"/>
  <c r="F22" s="1"/>
  <c r="F23" s="1"/>
  <c r="F17"/>
  <c r="F18"/>
  <c r="F19"/>
  <c r="F20"/>
  <c r="F16"/>
  <c r="F22" i="4"/>
  <c r="F23" s="1"/>
  <c r="F24" i="5" l="1"/>
  <c r="F25" s="1"/>
  <c r="F26" s="1"/>
  <c r="F24" i="4"/>
  <c r="F25" s="1"/>
  <c r="F26" s="1"/>
  <c r="E13" i="3" l="1"/>
  <c r="C13"/>
  <c r="E12"/>
  <c r="C12"/>
  <c r="F10"/>
  <c r="E10"/>
  <c r="D10"/>
  <c r="C10"/>
  <c r="B10"/>
  <c r="A10"/>
  <c r="F9"/>
  <c r="E9"/>
  <c r="C9"/>
  <c r="B9"/>
  <c r="A9"/>
  <c r="F8"/>
  <c r="E8"/>
  <c r="D8"/>
  <c r="D9" s="1"/>
  <c r="C8"/>
  <c r="B8"/>
  <c r="A8"/>
  <c r="B7"/>
  <c r="A7"/>
  <c r="F6"/>
  <c r="E6"/>
  <c r="C6"/>
  <c r="B6"/>
  <c r="A6"/>
  <c r="F5"/>
  <c r="E5"/>
  <c r="D5"/>
  <c r="D6" s="1"/>
  <c r="C5"/>
  <c r="B5"/>
  <c r="A5"/>
  <c r="A3"/>
  <c r="C21" i="9"/>
  <c r="F21" s="1"/>
  <c r="C20"/>
  <c r="F20" s="1"/>
  <c r="C19"/>
  <c r="F19" s="1"/>
  <c r="C18"/>
  <c r="F18" s="1"/>
  <c r="C17"/>
  <c r="F17" s="1"/>
  <c r="F13"/>
  <c r="F12"/>
  <c r="F22" l="1"/>
  <c r="F12" i="3"/>
  <c r="F13"/>
  <c r="F14"/>
  <c r="F23" i="9"/>
  <c r="F24" s="1"/>
  <c r="F15" i="3" l="1"/>
  <c r="F16" s="1"/>
  <c r="F17" s="1"/>
  <c r="F18" s="1"/>
  <c r="F19" s="1"/>
  <c r="F25" i="9"/>
  <c r="F26" s="1"/>
  <c r="C18" i="7" l="1"/>
  <c r="F18" s="1"/>
  <c r="C17"/>
  <c r="F17" s="1"/>
  <c r="C16"/>
  <c r="F16" s="1"/>
  <c r="C15"/>
  <c r="F15" s="1"/>
  <c r="C14"/>
  <c r="F14" s="1"/>
  <c r="F11"/>
  <c r="F10"/>
  <c r="F3"/>
  <c r="F19" l="1"/>
  <c r="F20" l="1"/>
  <c r="F21"/>
  <c r="F22" l="1"/>
  <c r="F23"/>
  <c r="E16" i="31" l="1"/>
  <c r="C16"/>
  <c r="F16" s="1"/>
  <c r="B16"/>
  <c r="E15"/>
  <c r="C15"/>
  <c r="F15" s="1"/>
  <c r="B15"/>
  <c r="E14"/>
  <c r="C14"/>
  <c r="F14" s="1"/>
  <c r="B14"/>
  <c r="E13"/>
  <c r="C13"/>
  <c r="F13" s="1"/>
  <c r="B13"/>
  <c r="E12"/>
  <c r="C12"/>
  <c r="F12" s="1"/>
  <c r="B12"/>
  <c r="A11"/>
  <c r="E10"/>
  <c r="C10"/>
  <c r="F10" s="1"/>
  <c r="A10"/>
  <c r="E9"/>
  <c r="C9"/>
  <c r="F9" s="1"/>
  <c r="A9"/>
  <c r="E8"/>
  <c r="C8"/>
  <c r="F8" s="1"/>
  <c r="A8"/>
  <c r="E7"/>
  <c r="C7"/>
  <c r="F7" s="1"/>
  <c r="A7"/>
  <c r="E6"/>
  <c r="C6"/>
  <c r="F6" s="1"/>
  <c r="A6"/>
  <c r="E5"/>
  <c r="C5"/>
  <c r="F5" s="1"/>
  <c r="F17" s="1"/>
  <c r="B5"/>
  <c r="A5"/>
  <c r="A3"/>
  <c r="F18" l="1"/>
  <c r="F19" s="1"/>
  <c r="F20" l="1"/>
  <c r="F21" s="1"/>
  <c r="E16" i="30" l="1"/>
  <c r="C16"/>
  <c r="F16" s="1"/>
  <c r="B16"/>
  <c r="E15"/>
  <c r="C15"/>
  <c r="F15" s="1"/>
  <c r="B15"/>
  <c r="E14"/>
  <c r="C14"/>
  <c r="F14" s="1"/>
  <c r="B14"/>
  <c r="E13"/>
  <c r="C13"/>
  <c r="F13" s="1"/>
  <c r="B13"/>
  <c r="E12"/>
  <c r="C12"/>
  <c r="F12" s="1"/>
  <c r="B12"/>
  <c r="A11"/>
  <c r="E10"/>
  <c r="C10"/>
  <c r="F10" s="1"/>
  <c r="A10"/>
  <c r="E9"/>
  <c r="C9"/>
  <c r="F9" s="1"/>
  <c r="A9"/>
  <c r="E8"/>
  <c r="C8"/>
  <c r="F8" s="1"/>
  <c r="A8"/>
  <c r="E7"/>
  <c r="C7"/>
  <c r="F7" s="1"/>
  <c r="A7"/>
  <c r="E6"/>
  <c r="C6"/>
  <c r="F6" s="1"/>
  <c r="A6"/>
  <c r="E5"/>
  <c r="C5"/>
  <c r="F5" s="1"/>
  <c r="F17" s="1"/>
  <c r="B5"/>
  <c r="A5"/>
  <c r="A3"/>
  <c r="F18" l="1"/>
  <c r="F19" s="1"/>
  <c r="F20" l="1"/>
  <c r="F21" s="1"/>
  <c r="E16" i="28" l="1"/>
  <c r="C16"/>
  <c r="F16" s="1"/>
  <c r="B16"/>
  <c r="E15"/>
  <c r="C15"/>
  <c r="F15" s="1"/>
  <c r="B15"/>
  <c r="E14"/>
  <c r="C14"/>
  <c r="F14" s="1"/>
  <c r="B14"/>
  <c r="E13"/>
  <c r="C13"/>
  <c r="F13" s="1"/>
  <c r="B13"/>
  <c r="E12"/>
  <c r="C12"/>
  <c r="F12" s="1"/>
  <c r="B12"/>
  <c r="A11"/>
  <c r="E10"/>
  <c r="C10"/>
  <c r="F10" s="1"/>
  <c r="A10"/>
  <c r="E9"/>
  <c r="C9"/>
  <c r="F9" s="1"/>
  <c r="A9"/>
  <c r="E8"/>
  <c r="C8"/>
  <c r="F8" s="1"/>
  <c r="A8"/>
  <c r="E7"/>
  <c r="C7"/>
  <c r="F7" s="1"/>
  <c r="A7"/>
  <c r="E6"/>
  <c r="C6"/>
  <c r="F6" s="1"/>
  <c r="A6"/>
  <c r="E5"/>
  <c r="C5"/>
  <c r="F5" s="1"/>
  <c r="F17" s="1"/>
  <c r="B5"/>
  <c r="A5"/>
  <c r="A3"/>
  <c r="F18" l="1"/>
  <c r="F19" s="1"/>
  <c r="F20" l="1"/>
  <c r="F21" s="1"/>
  <c r="E16" i="29" l="1"/>
  <c r="C16"/>
  <c r="F16" s="1"/>
  <c r="B16"/>
  <c r="E15"/>
  <c r="C15"/>
  <c r="F15" s="1"/>
  <c r="B15"/>
  <c r="E14"/>
  <c r="C14"/>
  <c r="F14" s="1"/>
  <c r="B14"/>
  <c r="E13"/>
  <c r="C13"/>
  <c r="F13" s="1"/>
  <c r="B13"/>
  <c r="E12"/>
  <c r="C12"/>
  <c r="F12" s="1"/>
  <c r="B12"/>
  <c r="A11"/>
  <c r="E10"/>
  <c r="C10"/>
  <c r="F10" s="1"/>
  <c r="A10"/>
  <c r="E9"/>
  <c r="C9"/>
  <c r="F9" s="1"/>
  <c r="A9"/>
  <c r="E8"/>
  <c r="C8"/>
  <c r="F8" s="1"/>
  <c r="A8"/>
  <c r="E7"/>
  <c r="C7"/>
  <c r="F7" s="1"/>
  <c r="A7"/>
  <c r="E6"/>
  <c r="C6"/>
  <c r="F6" s="1"/>
  <c r="A6"/>
  <c r="E5"/>
  <c r="C5"/>
  <c r="F5" s="1"/>
  <c r="F17" s="1"/>
  <c r="B5"/>
  <c r="A5"/>
  <c r="A3"/>
  <c r="F18" l="1"/>
  <c r="F19" s="1"/>
  <c r="F20" l="1"/>
  <c r="F21" s="1"/>
  <c r="F21" i="36" l="1"/>
  <c r="F22" s="1"/>
  <c r="A12"/>
  <c r="F23" l="1"/>
  <c r="F24" l="1"/>
  <c r="F25" s="1"/>
  <c r="F15" i="37" l="1"/>
  <c r="F14"/>
  <c r="F13"/>
  <c r="F12"/>
  <c r="F11"/>
  <c r="F9"/>
  <c r="F8"/>
  <c r="F7"/>
  <c r="F6"/>
  <c r="F5"/>
  <c r="F16" s="1"/>
  <c r="E11" i="33"/>
  <c r="C11"/>
  <c r="F11" s="1"/>
  <c r="B11"/>
  <c r="E10"/>
  <c r="C10"/>
  <c r="F10" s="1"/>
  <c r="B10"/>
  <c r="E9"/>
  <c r="C9"/>
  <c r="F9" s="1"/>
  <c r="B9"/>
  <c r="E7"/>
  <c r="C7"/>
  <c r="F7" s="1"/>
  <c r="F6"/>
  <c r="C6"/>
  <c r="E5"/>
  <c r="C5"/>
  <c r="F5" s="1"/>
  <c r="F12" s="1"/>
  <c r="F17" i="37" l="1"/>
  <c r="F18" s="1"/>
  <c r="F13" i="33"/>
  <c r="F14" s="1"/>
  <c r="F19" i="37" l="1"/>
  <c r="F20" s="1"/>
  <c r="F15" i="33"/>
  <c r="F16"/>
  <c r="E16" i="34" l="1"/>
  <c r="E15"/>
  <c r="E14"/>
  <c r="E13"/>
  <c r="E12"/>
  <c r="A11"/>
  <c r="F10"/>
  <c r="E10"/>
  <c r="C10"/>
  <c r="B10"/>
  <c r="A10"/>
  <c r="F9"/>
  <c r="C9"/>
  <c r="C14" s="1"/>
  <c r="F14" s="1"/>
  <c r="B9"/>
  <c r="A9"/>
  <c r="F8"/>
  <c r="C8"/>
  <c r="C15" s="1"/>
  <c r="F15" s="1"/>
  <c r="B8"/>
  <c r="A8"/>
  <c r="F7"/>
  <c r="C7"/>
  <c r="C13" s="1"/>
  <c r="F13" s="1"/>
  <c r="B7"/>
  <c r="A7"/>
  <c r="F6"/>
  <c r="C6"/>
  <c r="C16" s="1"/>
  <c r="F16" s="1"/>
  <c r="B6"/>
  <c r="A6"/>
  <c r="E5"/>
  <c r="C5"/>
  <c r="F5" s="1"/>
  <c r="B5"/>
  <c r="A5"/>
  <c r="A3"/>
  <c r="F17" l="1"/>
  <c r="C12"/>
  <c r="F12" s="1"/>
  <c r="F18" l="1"/>
  <c r="F19" s="1"/>
  <c r="F20" l="1"/>
  <c r="F21" s="1"/>
  <c r="F11" i="11" l="1"/>
  <c r="F9"/>
  <c r="A9"/>
  <c r="F8"/>
  <c r="A8"/>
  <c r="F7"/>
  <c r="A7"/>
  <c r="F6"/>
  <c r="A6"/>
  <c r="F5"/>
  <c r="F12" s="1"/>
  <c r="F13" s="1"/>
  <c r="F14" s="1"/>
  <c r="F15" s="1"/>
  <c r="F16" s="1"/>
  <c r="C23" i="12" l="1"/>
  <c r="F23" s="1"/>
  <c r="B23"/>
  <c r="F22"/>
  <c r="C22"/>
  <c r="F21"/>
  <c r="C20"/>
  <c r="F20" s="1"/>
  <c r="F19"/>
  <c r="F17"/>
  <c r="B17"/>
  <c r="F16"/>
  <c r="B16"/>
  <c r="F15"/>
  <c r="B15"/>
  <c r="F12"/>
  <c r="F11"/>
  <c r="B10"/>
  <c r="A10"/>
  <c r="F9"/>
  <c r="B9"/>
  <c r="A9"/>
  <c r="F8"/>
  <c r="B8"/>
  <c r="F7"/>
  <c r="B7"/>
  <c r="E6"/>
  <c r="F6" s="1"/>
  <c r="B6"/>
  <c r="A6"/>
  <c r="F5"/>
  <c r="F13" s="1"/>
  <c r="F14" s="1"/>
  <c r="F24" s="1"/>
  <c r="F25" s="1"/>
  <c r="F26" s="1"/>
  <c r="F27" s="1"/>
  <c r="F28" s="1"/>
  <c r="F7" i="35"/>
  <c r="F8" s="1"/>
  <c r="F9" s="1"/>
  <c r="F10" s="1"/>
  <c r="F5"/>
  <c r="F17" i="39" l="1"/>
  <c r="F16"/>
  <c r="F15"/>
  <c r="F14"/>
  <c r="F13"/>
  <c r="F11"/>
  <c r="E10"/>
  <c r="F10" s="1"/>
  <c r="F9"/>
  <c r="F8"/>
  <c r="F7"/>
  <c r="F6"/>
  <c r="F5"/>
  <c r="F18" l="1"/>
  <c r="F19" s="1"/>
  <c r="F20" s="1"/>
  <c r="F21" s="1"/>
  <c r="F22" s="1"/>
  <c r="F15" i="38" l="1"/>
  <c r="F14"/>
  <c r="F13"/>
  <c r="F12"/>
  <c r="F11"/>
  <c r="F9"/>
  <c r="F8"/>
  <c r="F7"/>
  <c r="F6"/>
  <c r="F5"/>
  <c r="F16" s="1"/>
  <c r="F17" l="1"/>
  <c r="F18" s="1"/>
  <c r="F19" l="1"/>
  <c r="F20" s="1"/>
  <c r="F18" i="32" l="1"/>
  <c r="F17"/>
  <c r="F16"/>
  <c r="F15"/>
  <c r="F14"/>
  <c r="F12"/>
  <c r="F11"/>
  <c r="C11"/>
  <c r="F10"/>
  <c r="C10"/>
  <c r="F9"/>
  <c r="F8"/>
  <c r="F7"/>
  <c r="F6"/>
  <c r="F5"/>
  <c r="F19" s="1"/>
  <c r="F20" s="1"/>
  <c r="F21" s="1"/>
  <c r="F22" s="1"/>
  <c r="F23" s="1"/>
  <c r="C19" i="6" l="1"/>
  <c r="F19" s="1"/>
  <c r="F18"/>
  <c r="F17"/>
  <c r="C16"/>
  <c r="F16" s="1"/>
  <c r="F14"/>
  <c r="F13"/>
  <c r="F12"/>
  <c r="F11"/>
  <c r="F10"/>
  <c r="F9"/>
  <c r="F8"/>
  <c r="F7"/>
  <c r="F6"/>
  <c r="F5"/>
  <c r="F21" l="1"/>
  <c r="F22" s="1"/>
  <c r="F23" s="1"/>
  <c r="F24" s="1"/>
  <c r="F25" s="1"/>
  <c r="F36" i="10" l="1"/>
  <c r="C36"/>
  <c r="F35"/>
  <c r="F34"/>
  <c r="F32"/>
  <c r="F31"/>
  <c r="F30"/>
  <c r="E29"/>
  <c r="F29" s="1"/>
  <c r="E28"/>
  <c r="F28" s="1"/>
  <c r="E27"/>
  <c r="F27" s="1"/>
  <c r="E26"/>
  <c r="F26" s="1"/>
  <c r="F25"/>
  <c r="F24"/>
  <c r="F23"/>
  <c r="F22"/>
  <c r="C22"/>
  <c r="F21"/>
  <c r="E20"/>
  <c r="F20" s="1"/>
  <c r="C19"/>
  <c r="F19" s="1"/>
  <c r="F18"/>
  <c r="F17"/>
  <c r="F16"/>
  <c r="F15"/>
  <c r="F14"/>
  <c r="F13"/>
  <c r="C13"/>
  <c r="F12"/>
  <c r="F11"/>
  <c r="F10"/>
  <c r="F9"/>
  <c r="F8"/>
  <c r="F7"/>
  <c r="F6"/>
  <c r="F5"/>
  <c r="F37" s="1"/>
  <c r="F38" s="1"/>
  <c r="F39" s="1"/>
  <c r="F40" s="1"/>
  <c r="F41" s="1"/>
  <c r="E20" i="26"/>
  <c r="C20"/>
  <c r="F20" s="1"/>
  <c r="B20"/>
  <c r="E19"/>
  <c r="C19"/>
  <c r="F19" s="1"/>
  <c r="B19"/>
  <c r="E18"/>
  <c r="C18"/>
  <c r="F18" s="1"/>
  <c r="B18"/>
  <c r="E17"/>
  <c r="C17"/>
  <c r="F17" s="1"/>
  <c r="B17"/>
  <c r="E16"/>
  <c r="C16"/>
  <c r="F16" s="1"/>
  <c r="B16"/>
  <c r="A15"/>
  <c r="E14"/>
  <c r="C14"/>
  <c r="F14" s="1"/>
  <c r="B14"/>
  <c r="A14"/>
  <c r="E13"/>
  <c r="D13"/>
  <c r="C13"/>
  <c r="F13" s="1"/>
  <c r="E12"/>
  <c r="D12"/>
  <c r="C12"/>
  <c r="F12" s="1"/>
  <c r="B12"/>
  <c r="A12"/>
  <c r="E11"/>
  <c r="C11"/>
  <c r="F11" s="1"/>
  <c r="B11"/>
  <c r="A11"/>
  <c r="E10"/>
  <c r="C10"/>
  <c r="F10" s="1"/>
  <c r="B10"/>
  <c r="A10"/>
  <c r="E9"/>
  <c r="C9"/>
  <c r="F9" s="1"/>
  <c r="A9"/>
  <c r="E8"/>
  <c r="C8"/>
  <c r="F8" s="1"/>
  <c r="A8"/>
  <c r="E7"/>
  <c r="C7"/>
  <c r="F7" s="1"/>
  <c r="A7"/>
  <c r="E6"/>
  <c r="C6"/>
  <c r="F6" s="1"/>
  <c r="B6"/>
  <c r="A6"/>
  <c r="F5"/>
  <c r="F21" s="1"/>
  <c r="E5"/>
  <c r="D5"/>
  <c r="C5"/>
  <c r="B5"/>
  <c r="A5"/>
  <c r="A3"/>
  <c r="F22" l="1"/>
  <c r="F23" s="1"/>
  <c r="F24" l="1"/>
  <c r="F25" s="1"/>
  <c r="E21" i="25" l="1"/>
  <c r="C21"/>
  <c r="F21" s="1"/>
  <c r="B21"/>
  <c r="E20"/>
  <c r="C20"/>
  <c r="F20" s="1"/>
  <c r="B20"/>
  <c r="E19"/>
  <c r="C19"/>
  <c r="F19" s="1"/>
  <c r="B19"/>
  <c r="E18"/>
  <c r="C18"/>
  <c r="F18" s="1"/>
  <c r="B18"/>
  <c r="E17"/>
  <c r="C17"/>
  <c r="F17" s="1"/>
  <c r="B17"/>
  <c r="A16"/>
  <c r="E15"/>
  <c r="C15"/>
  <c r="F15" s="1"/>
  <c r="B15"/>
  <c r="A15"/>
  <c r="E14"/>
  <c r="D14"/>
  <c r="C14"/>
  <c r="F14" s="1"/>
  <c r="E13"/>
  <c r="D13"/>
  <c r="C13"/>
  <c r="F13" s="1"/>
  <c r="B13"/>
  <c r="A13"/>
  <c r="E12"/>
  <c r="C12"/>
  <c r="F12" s="1"/>
  <c r="B12"/>
  <c r="A12"/>
  <c r="E11"/>
  <c r="C11"/>
  <c r="F11" s="1"/>
  <c r="B11"/>
  <c r="A11"/>
  <c r="E10"/>
  <c r="C10"/>
  <c r="F10" s="1"/>
  <c r="A10"/>
  <c r="E9"/>
  <c r="C9"/>
  <c r="F9" s="1"/>
  <c r="A9"/>
  <c r="E8"/>
  <c r="C8"/>
  <c r="F8" s="1"/>
  <c r="A8"/>
  <c r="E7"/>
  <c r="C7"/>
  <c r="F7" s="1"/>
  <c r="B7"/>
  <c r="A7"/>
  <c r="E6"/>
  <c r="C6"/>
  <c r="F6" s="1"/>
  <c r="B6"/>
  <c r="A6"/>
  <c r="E5"/>
  <c r="D5"/>
  <c r="C5"/>
  <c r="F5" s="1"/>
  <c r="F22" s="1"/>
  <c r="B5"/>
  <c r="A5"/>
  <c r="A3"/>
  <c r="F23" l="1"/>
  <c r="F24" s="1"/>
  <c r="F25" l="1"/>
  <c r="F26" s="1"/>
  <c r="E22" i="24" l="1"/>
  <c r="C22"/>
  <c r="F22" s="1"/>
  <c r="E21"/>
  <c r="C21"/>
  <c r="F21" s="1"/>
  <c r="E20"/>
  <c r="C20"/>
  <c r="F20" s="1"/>
  <c r="E19"/>
  <c r="C19"/>
  <c r="F19" s="1"/>
  <c r="E18"/>
  <c r="C18"/>
  <c r="F18" s="1"/>
  <c r="A17"/>
  <c r="E16"/>
  <c r="C16"/>
  <c r="F16" s="1"/>
  <c r="B16"/>
  <c r="A16"/>
  <c r="E15"/>
  <c r="D15"/>
  <c r="C15"/>
  <c r="F15" s="1"/>
  <c r="E14"/>
  <c r="D14"/>
  <c r="C14"/>
  <c r="F14" s="1"/>
  <c r="B14"/>
  <c r="A14"/>
  <c r="E13"/>
  <c r="C13"/>
  <c r="F13" s="1"/>
  <c r="B13"/>
  <c r="A13"/>
  <c r="E12"/>
  <c r="C12"/>
  <c r="F12" s="1"/>
  <c r="B12"/>
  <c r="A12"/>
  <c r="E11"/>
  <c r="C11"/>
  <c r="F11" s="1"/>
  <c r="A11"/>
  <c r="E10"/>
  <c r="C10"/>
  <c r="F10" s="1"/>
  <c r="B10"/>
  <c r="A10"/>
  <c r="E9"/>
  <c r="C9"/>
  <c r="F9" s="1"/>
  <c r="B9"/>
  <c r="A9"/>
  <c r="E8"/>
  <c r="C8"/>
  <c r="F8" s="1"/>
  <c r="B8"/>
  <c r="A8"/>
  <c r="E7"/>
  <c r="C7"/>
  <c r="F7" s="1"/>
  <c r="A7"/>
  <c r="E6"/>
  <c r="C6"/>
  <c r="F6" s="1"/>
  <c r="B6"/>
  <c r="A6"/>
  <c r="E5"/>
  <c r="C5"/>
  <c r="F5" s="1"/>
  <c r="B5"/>
  <c r="A5"/>
  <c r="A3"/>
  <c r="F23" l="1"/>
  <c r="F24" l="1"/>
  <c r="F25" s="1"/>
  <c r="F26" l="1"/>
  <c r="F27" s="1"/>
  <c r="C12" i="23" l="1"/>
  <c r="F12" s="1"/>
  <c r="C11"/>
  <c r="F11" s="1"/>
  <c r="C10"/>
  <c r="F10" s="1"/>
  <c r="E8"/>
  <c r="C8"/>
  <c r="F8" s="1"/>
  <c r="B8"/>
  <c r="A8"/>
  <c r="E7"/>
  <c r="C7"/>
  <c r="F7" s="1"/>
  <c r="B7"/>
  <c r="A7"/>
  <c r="E6"/>
  <c r="C6"/>
  <c r="F6" s="1"/>
  <c r="B6"/>
  <c r="A6"/>
  <c r="E5"/>
  <c r="C5"/>
  <c r="F5" s="1"/>
  <c r="F13" s="1"/>
  <c r="B5"/>
  <c r="A5"/>
  <c r="A3"/>
  <c r="F14" l="1"/>
  <c r="F15" s="1"/>
  <c r="F16" l="1"/>
  <c r="F17" s="1"/>
  <c r="E20" i="21" l="1"/>
  <c r="C20"/>
  <c r="F20" s="1"/>
  <c r="E19"/>
  <c r="C19"/>
  <c r="F19" s="1"/>
  <c r="E18"/>
  <c r="C18"/>
  <c r="F18" s="1"/>
  <c r="E17"/>
  <c r="C17"/>
  <c r="F17" s="1"/>
  <c r="E16"/>
  <c r="C16"/>
  <c r="F16" s="1"/>
  <c r="A15"/>
  <c r="E14"/>
  <c r="C14"/>
  <c r="F14" s="1"/>
  <c r="B14"/>
  <c r="A14"/>
  <c r="E13"/>
  <c r="D13"/>
  <c r="C13"/>
  <c r="F13" s="1"/>
  <c r="E12"/>
  <c r="D12"/>
  <c r="C12"/>
  <c r="F12" s="1"/>
  <c r="B12"/>
  <c r="A12"/>
  <c r="E11"/>
  <c r="C11"/>
  <c r="F11" s="1"/>
  <c r="B11"/>
  <c r="A11"/>
  <c r="E10"/>
  <c r="C10"/>
  <c r="F10" s="1"/>
  <c r="B10"/>
  <c r="A10"/>
  <c r="E9"/>
  <c r="C9"/>
  <c r="F9" s="1"/>
  <c r="A9"/>
  <c r="E8"/>
  <c r="C8"/>
  <c r="F8" s="1"/>
  <c r="A8"/>
  <c r="E7"/>
  <c r="C7"/>
  <c r="F7" s="1"/>
  <c r="A7"/>
  <c r="E6"/>
  <c r="C6"/>
  <c r="F6" s="1"/>
  <c r="B6"/>
  <c r="A6"/>
  <c r="E5"/>
  <c r="C5"/>
  <c r="F5" s="1"/>
  <c r="F21" s="1"/>
  <c r="B5"/>
  <c r="A5"/>
  <c r="A3"/>
  <c r="F22" l="1"/>
  <c r="F23" s="1"/>
  <c r="F24" l="1"/>
  <c r="F25" s="1"/>
  <c r="E20" i="20" l="1"/>
  <c r="C20"/>
  <c r="F20" s="1"/>
  <c r="B20"/>
  <c r="A20"/>
  <c r="E19"/>
  <c r="C19"/>
  <c r="F19" s="1"/>
  <c r="B19"/>
  <c r="A19"/>
  <c r="E18"/>
  <c r="C18"/>
  <c r="F18" s="1"/>
  <c r="B18"/>
  <c r="A18"/>
  <c r="E17"/>
  <c r="C17"/>
  <c r="F17" s="1"/>
  <c r="B17"/>
  <c r="A17"/>
  <c r="E16"/>
  <c r="C16"/>
  <c r="F16" s="1"/>
  <c r="B16"/>
  <c r="A16"/>
  <c r="B15"/>
  <c r="A15"/>
  <c r="F14"/>
  <c r="E14"/>
  <c r="D14"/>
  <c r="C14"/>
  <c r="B14"/>
  <c r="A14"/>
  <c r="F13"/>
  <c r="E13"/>
  <c r="D13"/>
  <c r="C13"/>
  <c r="B13"/>
  <c r="A13"/>
  <c r="F12"/>
  <c r="E12"/>
  <c r="D12"/>
  <c r="C12"/>
  <c r="B12"/>
  <c r="A12"/>
  <c r="F11"/>
  <c r="E11"/>
  <c r="D11"/>
  <c r="C11"/>
  <c r="B11"/>
  <c r="A11"/>
  <c r="E10"/>
  <c r="C10"/>
  <c r="F10" s="1"/>
  <c r="B10"/>
  <c r="A10"/>
  <c r="E9"/>
  <c r="C9"/>
  <c r="F9" s="1"/>
  <c r="B9"/>
  <c r="A9"/>
  <c r="E8"/>
  <c r="C8"/>
  <c r="F8" s="1"/>
  <c r="B8"/>
  <c r="A8"/>
  <c r="E7"/>
  <c r="C7"/>
  <c r="F7" s="1"/>
  <c r="B7"/>
  <c r="A7"/>
  <c r="E6"/>
  <c r="C6"/>
  <c r="F6" s="1"/>
  <c r="B6"/>
  <c r="A6"/>
  <c r="E5"/>
  <c r="C5"/>
  <c r="F5" s="1"/>
  <c r="F21" s="1"/>
  <c r="B5"/>
  <c r="A5"/>
  <c r="A3"/>
  <c r="F22" l="1"/>
  <c r="F23" s="1"/>
  <c r="F24" l="1"/>
  <c r="F25" s="1"/>
  <c r="C12" i="19" l="1"/>
  <c r="F12" s="1"/>
  <c r="C11"/>
  <c r="F11" s="1"/>
  <c r="C10"/>
  <c r="F10" s="1"/>
  <c r="E8"/>
  <c r="C8"/>
  <c r="F8" s="1"/>
  <c r="B8"/>
  <c r="A8"/>
  <c r="E7"/>
  <c r="C7"/>
  <c r="F7" s="1"/>
  <c r="B7"/>
  <c r="A7"/>
  <c r="E6"/>
  <c r="C6"/>
  <c r="F6" s="1"/>
  <c r="B6"/>
  <c r="A6"/>
  <c r="E5"/>
  <c r="C5"/>
  <c r="F5" s="1"/>
  <c r="F13" s="1"/>
  <c r="B5"/>
  <c r="A5"/>
  <c r="A3"/>
  <c r="F14" l="1"/>
  <c r="F15" s="1"/>
  <c r="F16" l="1"/>
  <c r="F17" s="1"/>
  <c r="E16" i="18" l="1"/>
  <c r="C16"/>
  <c r="F16" s="1"/>
  <c r="B16"/>
  <c r="A16"/>
  <c r="E15"/>
  <c r="C15"/>
  <c r="F15" s="1"/>
  <c r="B15"/>
  <c r="A15"/>
  <c r="E14"/>
  <c r="C14"/>
  <c r="F14" s="1"/>
  <c r="B14"/>
  <c r="A14"/>
  <c r="E13"/>
  <c r="C13"/>
  <c r="F13" s="1"/>
  <c r="B13"/>
  <c r="A13"/>
  <c r="E12"/>
  <c r="C12"/>
  <c r="F12" s="1"/>
  <c r="B12"/>
  <c r="A12"/>
  <c r="A11"/>
  <c r="E10"/>
  <c r="C10"/>
  <c r="F10" s="1"/>
  <c r="B10"/>
  <c r="A10"/>
  <c r="E9"/>
  <c r="C9"/>
  <c r="F9" s="1"/>
  <c r="B9"/>
  <c r="A9"/>
  <c r="E8"/>
  <c r="C8"/>
  <c r="F8" s="1"/>
  <c r="B8"/>
  <c r="A8"/>
  <c r="E7"/>
  <c r="C7"/>
  <c r="F7" s="1"/>
  <c r="B7"/>
  <c r="A7"/>
  <c r="E6"/>
  <c r="C6"/>
  <c r="F6" s="1"/>
  <c r="B6"/>
  <c r="A6"/>
  <c r="E5"/>
  <c r="D5"/>
  <c r="C5"/>
  <c r="F5" s="1"/>
  <c r="F17" s="1"/>
  <c r="B5"/>
  <c r="A5"/>
  <c r="A3"/>
  <c r="F18" l="1"/>
  <c r="F19" s="1"/>
  <c r="F20" l="1"/>
  <c r="F21" s="1"/>
  <c r="E10" i="17" l="1"/>
  <c r="C10"/>
  <c r="F10" s="1"/>
  <c r="E9"/>
  <c r="C9"/>
  <c r="F9" s="1"/>
  <c r="A8"/>
  <c r="E7"/>
  <c r="C7"/>
  <c r="F7" s="1"/>
  <c r="A7"/>
  <c r="E6"/>
  <c r="C6"/>
  <c r="F6" s="1"/>
  <c r="A6"/>
  <c r="E5"/>
  <c r="C5"/>
  <c r="F5" s="1"/>
  <c r="A3"/>
  <c r="F11" l="1"/>
  <c r="F12" l="1"/>
  <c r="F13" s="1"/>
  <c r="F14" l="1"/>
  <c r="F15" s="1"/>
  <c r="E16" i="16" l="1"/>
  <c r="C16"/>
  <c r="F16" s="1"/>
  <c r="B16"/>
  <c r="A16"/>
  <c r="E15"/>
  <c r="C15"/>
  <c r="F15" s="1"/>
  <c r="B15"/>
  <c r="A15"/>
  <c r="E14"/>
  <c r="C14"/>
  <c r="F14" s="1"/>
  <c r="B14"/>
  <c r="A14"/>
  <c r="E13"/>
  <c r="C13"/>
  <c r="F13" s="1"/>
  <c r="B13"/>
  <c r="A13"/>
  <c r="E12"/>
  <c r="C12"/>
  <c r="F12" s="1"/>
  <c r="B12"/>
  <c r="A12"/>
  <c r="A11"/>
  <c r="E10"/>
  <c r="C10"/>
  <c r="F10" s="1"/>
  <c r="B10"/>
  <c r="A10"/>
  <c r="E9"/>
  <c r="C9"/>
  <c r="F9" s="1"/>
  <c r="B9"/>
  <c r="A9"/>
  <c r="E8"/>
  <c r="C8"/>
  <c r="F8" s="1"/>
  <c r="B8"/>
  <c r="A8"/>
  <c r="E7"/>
  <c r="C7"/>
  <c r="F7" s="1"/>
  <c r="B7"/>
  <c r="A7"/>
  <c r="E6"/>
  <c r="C6"/>
  <c r="F6" s="1"/>
  <c r="B6"/>
  <c r="A6"/>
  <c r="E5"/>
  <c r="D5"/>
  <c r="C5"/>
  <c r="F5" s="1"/>
  <c r="F17" s="1"/>
  <c r="B5"/>
  <c r="A5"/>
  <c r="A3"/>
  <c r="F18" l="1"/>
  <c r="F19" s="1"/>
  <c r="F20" l="1"/>
  <c r="F21" s="1"/>
  <c r="E16" i="15" l="1"/>
  <c r="C16"/>
  <c r="F16" s="1"/>
  <c r="B16"/>
  <c r="A16"/>
  <c r="E15"/>
  <c r="C15"/>
  <c r="F15" s="1"/>
  <c r="B15"/>
  <c r="A15"/>
  <c r="E14"/>
  <c r="C14"/>
  <c r="F14" s="1"/>
  <c r="B14"/>
  <c r="A14"/>
  <c r="E13"/>
  <c r="C13"/>
  <c r="F13" s="1"/>
  <c r="B13"/>
  <c r="A13"/>
  <c r="E12"/>
  <c r="C12"/>
  <c r="F12" s="1"/>
  <c r="B12"/>
  <c r="A12"/>
  <c r="A11"/>
  <c r="E10"/>
  <c r="C10"/>
  <c r="F10" s="1"/>
  <c r="B10"/>
  <c r="A10"/>
  <c r="E9"/>
  <c r="C9"/>
  <c r="F9" s="1"/>
  <c r="B9"/>
  <c r="A9"/>
  <c r="E8"/>
  <c r="C8"/>
  <c r="F8" s="1"/>
  <c r="B8"/>
  <c r="A8"/>
  <c r="E7"/>
  <c r="C7"/>
  <c r="F7" s="1"/>
  <c r="B7"/>
  <c r="A7"/>
  <c r="E6"/>
  <c r="C6"/>
  <c r="F6" s="1"/>
  <c r="B6"/>
  <c r="A6"/>
  <c r="E5"/>
  <c r="D5"/>
  <c r="C5"/>
  <c r="F5" s="1"/>
  <c r="F17" s="1"/>
  <c r="B5"/>
  <c r="A5"/>
  <c r="A3"/>
  <c r="F18" l="1"/>
  <c r="F19" s="1"/>
  <c r="F20" l="1"/>
  <c r="F21" s="1"/>
  <c r="F20" i="13" l="1"/>
  <c r="F19"/>
  <c r="F18"/>
  <c r="F17"/>
  <c r="F16"/>
  <c r="F14"/>
  <c r="F13"/>
  <c r="F12"/>
  <c r="F11"/>
  <c r="F10"/>
  <c r="F9"/>
  <c r="F8"/>
  <c r="F7"/>
  <c r="F6"/>
  <c r="F5"/>
  <c r="F21" s="1"/>
  <c r="F22" s="1"/>
  <c r="F23" s="1"/>
  <c r="F24" s="1"/>
  <c r="F25" s="1"/>
  <c r="A5" i="14" l="1"/>
  <c r="B5"/>
  <c r="C5"/>
  <c r="D5"/>
  <c r="E5"/>
  <c r="F5"/>
  <c r="A6"/>
  <c r="B6"/>
  <c r="C6"/>
  <c r="E6"/>
  <c r="F6" s="1"/>
  <c r="A7"/>
  <c r="B7"/>
  <c r="C7"/>
  <c r="E7"/>
  <c r="F7"/>
  <c r="A8"/>
  <c r="C8"/>
  <c r="E8"/>
  <c r="F8"/>
  <c r="A9"/>
  <c r="B9"/>
  <c r="C9"/>
  <c r="E9"/>
  <c r="F9" s="1"/>
  <c r="A10"/>
  <c r="B10"/>
  <c r="C10"/>
  <c r="E10"/>
  <c r="F10"/>
  <c r="A11"/>
  <c r="B11"/>
  <c r="C11"/>
  <c r="E11"/>
  <c r="F11" s="1"/>
  <c r="A12"/>
  <c r="B12"/>
  <c r="C12"/>
  <c r="F12" s="1"/>
  <c r="E12"/>
  <c r="A13"/>
  <c r="B13"/>
  <c r="C13"/>
  <c r="E13"/>
  <c r="F13" s="1"/>
  <c r="C14"/>
  <c r="E14"/>
  <c r="F14"/>
  <c r="A15"/>
  <c r="B15"/>
  <c r="C15"/>
  <c r="E15"/>
  <c r="F15" s="1"/>
  <c r="A16"/>
  <c r="C17"/>
  <c r="E17"/>
  <c r="F17" s="1"/>
  <c r="C18"/>
  <c r="E18"/>
  <c r="F18"/>
  <c r="C19"/>
  <c r="E19"/>
  <c r="F19" s="1"/>
  <c r="C20"/>
  <c r="E20"/>
  <c r="F20"/>
  <c r="C21"/>
  <c r="E21"/>
  <c r="F21" s="1"/>
  <c r="F22" l="1"/>
  <c r="F23" l="1"/>
  <c r="F24" s="1"/>
  <c r="F25" l="1"/>
  <c r="F26" s="1"/>
</calcChain>
</file>

<file path=xl/sharedStrings.xml><?xml version="1.0" encoding="utf-8"?>
<sst xmlns="http://schemas.openxmlformats.org/spreadsheetml/2006/main" count="1626" uniqueCount="420">
  <si>
    <t>RANCHI MUNICIPAL CORPORATION, RANCHI</t>
  </si>
  <si>
    <t>Bill of Quantity</t>
  </si>
  <si>
    <t>S.No.</t>
  </si>
  <si>
    <t>Particulars or item of works</t>
  </si>
  <si>
    <t>Quantity</t>
  </si>
  <si>
    <t>Unit</t>
  </si>
  <si>
    <t xml:space="preserve">Rate          (in Rs.) </t>
  </si>
  <si>
    <t>Amount                     (in Rs.)</t>
  </si>
  <si>
    <t>cum</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</si>
  <si>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</si>
  <si>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MT</t>
  </si>
  <si>
    <t>M²</t>
  </si>
  <si>
    <t>CARRIAGE OF MATERIALS</t>
  </si>
  <si>
    <t>(i)</t>
  </si>
  <si>
    <t>Sand  (Lead Upto 49km)</t>
  </si>
  <si>
    <t>M³</t>
  </si>
  <si>
    <t>(ii)</t>
  </si>
  <si>
    <t>Dust  (Lead 22KM)</t>
  </si>
  <si>
    <t>(iii)</t>
  </si>
  <si>
    <t>Stone Boulder (Lead 36  KM)</t>
  </si>
  <si>
    <t>(iv)</t>
  </si>
  <si>
    <t>Stone Chips (Lead 22KM)</t>
  </si>
  <si>
    <t>(v)</t>
  </si>
  <si>
    <t>Earth (Lead 01 KM)</t>
  </si>
  <si>
    <t>Total</t>
  </si>
  <si>
    <t>Add 18% GST</t>
  </si>
  <si>
    <t>Add 1% Labour Cess</t>
  </si>
  <si>
    <t>Say</t>
  </si>
  <si>
    <t xml:space="preserve">    J.E.</t>
  </si>
  <si>
    <t>A.E</t>
  </si>
  <si>
    <t>E.E.</t>
  </si>
  <si>
    <t>R.M.C.</t>
  </si>
  <si>
    <t>R.M.C</t>
  </si>
  <si>
    <t xml:space="preserve">BILL OF QUANTITY </t>
  </si>
  <si>
    <t>Name of Work :- CONSTRUCTION OF RCC DRAIN AT HINDPIRI, ANUS GALI (JAHANGIR GALI) MOLLAHID HUOSE TO ASHARAF HOUSE UNDER WARD NO-22.</t>
  </si>
  <si>
    <t>Sl. No.</t>
  </si>
  <si>
    <t>Items of work</t>
  </si>
  <si>
    <t>Qnty.</t>
  </si>
  <si>
    <t>Rate</t>
  </si>
  <si>
    <t>Amount</t>
  </si>
  <si>
    <t>Labour for cleaning the work site before and after work etc.</t>
  </si>
  <si>
    <t>Each</t>
  </si>
  <si>
    <t xml:space="preserve">    2         5.10.2</t>
  </si>
  <si>
    <t>Dismantling plain cement or lime concrete work including ………do…….complete as per specification and  direction of E/I.</t>
  </si>
  <si>
    <t>3       5.1.1.</t>
  </si>
  <si>
    <t>4.         5.1.10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</si>
  <si>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</si>
  <si>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5.       5.6.8</t>
  </si>
  <si>
    <t>Supplying and laying (properly as per design and drawing )rip-rap with good quality of boulders duly packed including the cost of materials,royalty all taxes etc.but excluding the cost of carriage, all complete as per specification and direction of E/I.</t>
  </si>
  <si>
    <t>6.                                    5.3.10</t>
  </si>
  <si>
    <t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t>
  </si>
  <si>
    <t>7                  5.3.11</t>
  </si>
  <si>
    <t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t>
  </si>
  <si>
    <t>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Drain and Slab :- @2.25kg/cft</t>
  </si>
  <si>
    <t>5.5.4(a)</t>
  </si>
  <si>
    <t>Drain and Slab :- @2.25kg/cft</t>
  </si>
  <si>
    <t>9                 5.3.17.1</t>
  </si>
  <si>
    <t>Centering and shuttering including strutting, propping etc. and removal of from for Foundations,footings, bases of columns, etc. for mass concrete.</t>
  </si>
  <si>
    <t>Local Sand (Lead 14 KM)</t>
  </si>
  <si>
    <t>TOTAL</t>
  </si>
  <si>
    <t>GST (18%)</t>
  </si>
  <si>
    <t>L. CESS (1%)</t>
  </si>
  <si>
    <t xml:space="preserve">RANCHI MUNICIPAL CORPORATION,RANCHI
</t>
  </si>
  <si>
    <t xml:space="preserve">Bill of Quantity
</t>
  </si>
  <si>
    <t>Sl No.</t>
  </si>
  <si>
    <t xml:space="preserve">Rate              (in Rs.) </t>
  </si>
  <si>
    <t>Amount                  (in Rs.)</t>
  </si>
  <si>
    <t>Labour for site clearence before and after the work etc.</t>
  </si>
  <si>
    <t xml:space="preserve">Providing and laying in position concrete of specified grade excluding the cost of centering and shuttering- All work upto plinth level : 1:1½:3 (1 cemet : 1½ coarse sand (zone-iii) : 3 graded stone aggregate 20mm nominal size )  </t>
  </si>
  <si>
    <t>SAND-LEAD-49KM</t>
  </si>
  <si>
    <t>CHIPS-LEAD-22KM</t>
  </si>
  <si>
    <t>Add 1% Labour cess</t>
  </si>
  <si>
    <t>SAND (Kanchi River)-LEAD-47KM</t>
  </si>
  <si>
    <t>STONE CHIPS-LEAD-20KM</t>
  </si>
  <si>
    <t>EARTH-LEAD-01KM</t>
  </si>
  <si>
    <t>BILL OF QUANTITY</t>
  </si>
  <si>
    <t>SAND-LEAD-42KM</t>
  </si>
  <si>
    <t>LOCAL SAND-LEAD-18KM</t>
  </si>
  <si>
    <t>STONE CHIPS-LEAD-15KM</t>
  </si>
  <si>
    <t>BOULDER-LEAD-29KM</t>
  </si>
  <si>
    <t>EARTH-LEAD-1km</t>
  </si>
  <si>
    <t>Add 12% GST</t>
  </si>
  <si>
    <t>Name of Work :- Construction of Statue Platform and Renovation of Piawoo at Gowshala Chowk under ward no -20</t>
  </si>
  <si>
    <t>1
5.10.2</t>
  </si>
  <si>
    <t>Dismantling plain cement or lime concrete work including stacking serviceable materials in countable stacks within 15M. lead and disposal of unserviceable materials with all leads all complete as per direction of E/l.</t>
  </si>
  <si>
    <t>2
5.1.1 +5.1.2</t>
  </si>
  <si>
    <t>Earthwork in excavation in foundation trenches in ordinary soil (vide classification of soil item-A) and disposal of excavated earth as obtained to a distance upto 50 M. including all lifts, levelling, ramming the foudation trenches, removing roots of trees, shrubs all complete as per approved design, building specification and direction of E/l.</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</si>
  <si>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</si>
  <si>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and direction of E/l (Mode of measurement complacted volume).</t>
  </si>
  <si>
    <t>4
5.6.1</t>
  </si>
  <si>
    <t>Providing designation 75 A one brick flat soling joints filled with local sand including cost of watering taxes royalty all complete as per building specification and direction of E/l.</t>
  </si>
  <si>
    <t>m2</t>
  </si>
  <si>
    <t>5
5.3.9.2</t>
  </si>
  <si>
    <t>Providing and laying in position specified grade of reinforced cement concrete, excluding the cost of centering, shuttering, finishing and reinforcement - All work upto Plinth level. (1:2:4)</t>
  </si>
  <si>
    <t>m3</t>
  </si>
  <si>
    <t>6
5.2.2</t>
  </si>
  <si>
    <t>Providing designation 75 A brick work in C.M. (1:4) in foundation and plinth with approved quality of clean coarse sand of F.M. 2 to 2.5 including providing 10mm thick mortar joints, cost of screening materials, raking out joints to 15mm depth, curing, taxes and royalty all complete as per building specification and direction of E/l.</t>
  </si>
  <si>
    <t>7
BCD
5.3.5</t>
  </si>
  <si>
    <t xml:space="preserve">Providing and Laying damp-proof-coarse 50mm thick with cement concrete 1:2:4 (1 cement : 2 coarse sand( zone III) : 4 graded stone aggregate 20mm nominal size). 
</t>
  </si>
  <si>
    <t>8
5.2.11</t>
  </si>
  <si>
    <t>Providing designation 75 A brick work in C.M. (1:6) in superstructure with approved quality of clean coarse sand of F.M. 2 to2.5 including providing 10 mm thick mortar joints cost of screening materials , scafolding , raking out joints to 15mm depth curing, taxes and royalty all complete as per building specification and direction of E/l.</t>
  </si>
  <si>
    <t>9
5.3.11</t>
  </si>
  <si>
    <t>Providing and laying in position specified grade of reinforced cement concrete work in beams, lintels, bands etc. above plinth level upto floor five level, excluding the cost of centering, shuttering, finishing and reinforcement.
1:1.5:3 (1 cement:1.5 coarse sand (zone III) :3 graded stone aggregate 20 mm nominal size)</t>
  </si>
  <si>
    <t>10
BCD
5.3.17.3</t>
  </si>
  <si>
    <t xml:space="preserve">Centering and shuttering including strutting, propping etc. and removal of form for -
</t>
  </si>
  <si>
    <t>11
BCD
5.5.4
5.5.5</t>
  </si>
  <si>
    <t>Providing tor steel reinforcement of 8mm. dia. rods as per approved design and drawing with cutting, bending and binding with annealed wire with cost of wire, removal of rust, placing the rods in position (excluding carriage of bars to work site) all complete as per building specification and direction of E/l. TMT Fe 500 {(Only Valid for TATA(Tiscon), SAIL, JSPL, Electrosteel steels ltd.Bokaro and Vizag(RINL)} .   And above dia.
(i) 8 mm dia</t>
  </si>
  <si>
    <t>(ii) 10 mm dia</t>
  </si>
  <si>
    <t>12
BCD
5.7.14</t>
  </si>
  <si>
    <t>Providing 12mm thick water proof cement plaster (1:3) with clean coarse sand of F.M. 1.5 with 5% cico or any other approved water proofing compoundincluding taxes and royalty all complete as per building specification and direction of E/l.</t>
  </si>
  <si>
    <t>13
BCD
5.6.23</t>
  </si>
  <si>
    <t>Providing and laying 6mm precast white glazed tiles in walls over 12mm cement mortar (1:3) and jointed with grey cement slurry flush pointed with white cement including rubbing, polishing and cost of curing, taxes and royalty all complete as per building specification and direciton of E/l.
Grade "A" grade white tiles</t>
  </si>
  <si>
    <t>14
BCD
5.6.28</t>
  </si>
  <si>
    <t>Providing and laying Doublecharge Vitrified floor tiles in different sizes (thickness to be specified by manufacturer) with water absorption less than 0.08 % and conforming to I.S. 15622/ISO 13006 of approved make in all colours &amp; shade etc. complete
Size of Tiles 600 x 600 mm</t>
  </si>
  <si>
    <t>15
DSR
10.28</t>
  </si>
  <si>
    <t xml:space="preserve"> 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 charge, (for payment purpose only weight of stainless steel members shall be considered excluding fixing accessories such as nuts, bolts, fasteners etc.).</t>
  </si>
  <si>
    <t>kg</t>
  </si>
  <si>
    <t>16
BCD
5.5.33</t>
  </si>
  <si>
    <t>Supplying, fitting and fixing 40x40x4mm M.S. angle, hoisting in steps, welded with 6mm dia and 75mm long M.S. rods, anchorage fixed in concrete steps at the time of casting, including taxes all complete as per direction of E/l.</t>
  </si>
  <si>
    <t>m</t>
  </si>
  <si>
    <t>17
BCD
5.8.45</t>
  </si>
  <si>
    <t>Providing two coats of synthetic enamel paint of approved shade and make over steel surface including cleaning the surface thoroughly, scaffolding and taxes all complete as per building specification and direciton of E/l.</t>
  </si>
  <si>
    <t>Cow and Calf Statue 4'x3' feet height</t>
  </si>
  <si>
    <t>L.S.</t>
  </si>
  <si>
    <t>19
COMMON
Pg. 186</t>
  </si>
  <si>
    <t>Labour for clearance of site</t>
  </si>
  <si>
    <t>md</t>
  </si>
  <si>
    <t>20
BCD
5.5.29</t>
  </si>
  <si>
    <t>Supplying, fitting and fixing 20 guage G.C.I, sheet gate fitted on M.S. Angle frame of size 60x60x6mm. including cost of fabrication , providing necessary locking arrangement with haskal and domny duly fixed in P.C.C. (1:2:4) blocks of required size, applying a priming red lead paint over steel work, taxes all complete as per drawing specification and direction of E/l.</t>
  </si>
  <si>
    <t>21
DSR 13.80</t>
  </si>
  <si>
    <t xml:space="preserve">Providing and applying white cement based putty of average thickness 1 mm, of approved brand and manufacturer, over the plastered wall surface to  prepare the surface even and smooth complete.    </t>
  </si>
  <si>
    <t>22
DSR
13.47.1</t>
  </si>
  <si>
    <t>Finishing walls with Premium Acrylic Smooth exterior paint with Silicone additives of required shade:  New work (Two or more coats applied @ 1.43 ltr/10 sqm over and includingbase coat of water proofing cement paint applied @ 2.20 kg/10 sqm)</t>
  </si>
  <si>
    <t>23
DSR
4.17</t>
  </si>
  <si>
    <t>Making plinth protection 50mm thick of cement concrete 1:3:6 (1 cement :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</si>
  <si>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24
DSR
18.7.4</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</si>
  <si>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t>
  </si>
  <si>
    <t>25
3.1.6</t>
  </si>
  <si>
    <t>Providing and fixing brass/C.I. stop cock of approved quality all complete as per specification and direction of E/I.</t>
  </si>
  <si>
    <t>nos</t>
  </si>
  <si>
    <t>26
3.1.5.1</t>
  </si>
  <si>
    <t>Providing and fixing male ended 15mm dia brass bib cock of approved quality (wt. not less than 350 grams) with extra socket all complete as per specification and direction of E/I.</t>
  </si>
  <si>
    <t>water filter</t>
  </si>
  <si>
    <t>LS</t>
  </si>
  <si>
    <t>Carriage of Materials</t>
  </si>
  <si>
    <t>i</t>
  </si>
  <si>
    <t>SAND (49 km)</t>
  </si>
  <si>
    <t>ii</t>
  </si>
  <si>
    <t>CHIPS (22 km)</t>
  </si>
  <si>
    <t>iii</t>
  </si>
  <si>
    <t>BRICKS (8 km)</t>
  </si>
  <si>
    <t>0 %</t>
  </si>
  <si>
    <t>Name of Work :- Improvement of pcc road and construction of rcc drain at km mallik road from house of sundar kachhap to house of ahalad under ward no 11.</t>
  </si>
  <si>
    <t xml:space="preserve">1
</t>
  </si>
  <si>
    <t>Providing labour for cleaning of site as per specification and direction of E/I.</t>
  </si>
  <si>
    <t>NOS</t>
  </si>
  <si>
    <t xml:space="preserve">   2
5.1.1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</si>
  <si>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</si>
  <si>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M3</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</si>
  <si>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</si>
  <si>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4
5.6.8</t>
  </si>
  <si>
    <t>Supplying and laying (properly as per design and drawing ) rip-rap with good quality of boulders duty packed including the cost of materials royalty all taxes etc. but excluding the cost of carriage all complete as per specification and direction of E/I.</t>
  </si>
  <si>
    <t>5
5.3.10</t>
  </si>
  <si>
    <t xml:space="preserve">Providing RCC-M200 with nominal mix of (1:1.5:3) in foundation and plinth with approved quality of stone --do--all   complete as per drawing and Technical specification. </t>
  </si>
  <si>
    <t>6
5.3.11</t>
  </si>
  <si>
    <t>Providing precast R.C.C. M-200 with nominal mix of (1:1.5:3) in slab of desired size with approved quality of stone chips and clean coarse sand of F.M. 2.5 to 3 including cost of curing ,shuttering ,carrying the slab manually to site and laying in position all complete (but excluding the cost of reinforcement )taxes and royalty all complete as per building specifications and direction of E/I.</t>
  </si>
  <si>
    <t xml:space="preserve">7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</si>
  <si>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</si>
  <si>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8
5.5.5(a)</t>
  </si>
  <si>
    <t>Providing Tor steel reinforcement of 8mm,10mm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</si>
  <si>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9
5.3.17.1</t>
  </si>
  <si>
    <t xml:space="preserve">Centering and Shuttering including struting,propping etc and removal of from for  Foundation, footing s bases of Coloumns etc for mass Concrete.                             </t>
  </si>
  <si>
    <t>M2</t>
  </si>
  <si>
    <t xml:space="preserve">10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</si>
  <si>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</si>
  <si>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Carriage of materials</t>
  </si>
  <si>
    <t>I</t>
  </si>
  <si>
    <t xml:space="preserve"> Sand with lead of 49 km</t>
  </si>
  <si>
    <t>II</t>
  </si>
  <si>
    <t>Sand local lead 14 km</t>
  </si>
  <si>
    <t>III</t>
  </si>
  <si>
    <t>Stone Boulder with lead of 34 km</t>
  </si>
  <si>
    <t>IV</t>
  </si>
  <si>
    <t>Stone chips with lead of 22 km</t>
  </si>
  <si>
    <t>V</t>
  </si>
  <si>
    <t>Earth (lead 01 KM)</t>
  </si>
  <si>
    <t>Name of Work :- Construction of R.C.C. drain with Cover Slab at Mausibari tangra toli  in Ward No-37</t>
  </si>
  <si>
    <t xml:space="preserve">   1
5.1.1 JBCD</t>
  </si>
  <si>
    <t>Earth Work Excavation for structure as per technical specification clause 305.1 including setting out ,construction of shoring and brading in foundation trenches complete as per drawing and Technical specification.</t>
  </si>
  <si>
    <t>2
M-004</t>
  </si>
  <si>
    <t>Providing stone dust  sand in filling in foundation trenches or in plinth including ramming and watering in layers not exceeding 150 mm thick with all leads and lifts including cost of all materials ,labour, royalty and taxes all complete as per building specification and direction of E/I.</t>
  </si>
  <si>
    <t>3.
5.6.8</t>
  </si>
  <si>
    <t>4.
5.3.10</t>
  </si>
  <si>
    <t>Providing RCC-M200 with nominal mix of (1:1.5:3) in foundation and plinth with approved quality of stone --do--all   complete as per drawing and Technical specification. .</t>
  </si>
  <si>
    <t>5.
5.3.11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</si>
  <si>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</si>
  <si>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 xml:space="preserve">6.
5.5.4 </t>
  </si>
  <si>
    <t xml:space="preserve">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8 mm dia of bar 40% of (Base+Wall) </t>
  </si>
  <si>
    <t xml:space="preserve">7.
5.5.5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</si>
  <si>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10mm dia of bar 60%</t>
  </si>
  <si>
    <t>8.
5.3.17.1</t>
  </si>
  <si>
    <t xml:space="preserve">Centring and shuttering including strutting ,propping etc and removal of form from Foundations,footings,base of column etc </t>
  </si>
  <si>
    <t xml:space="preserve"> Sand with lead of 47 km</t>
  </si>
  <si>
    <t>Stone Dust lead 20 km</t>
  </si>
  <si>
    <t>iv</t>
  </si>
  <si>
    <t>Stone chips with lead of 20 km</t>
  </si>
  <si>
    <t>v</t>
  </si>
  <si>
    <t>Name of Work :- Construction of PCC road at A.N Singh road no-01 under W-48 of RMC Ranchi</t>
  </si>
  <si>
    <t>1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</si>
  <si>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</si>
  <si>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2.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</si>
  <si>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</si>
  <si>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3.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</si>
  <si>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</si>
  <si>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4   5.3.17</t>
  </si>
  <si>
    <t>Centering and shuttering including strutting, propping etc. and removal of form for Foundation, footing, bases of columns, etc for mass concrete</t>
  </si>
  <si>
    <t>5  JSR
5.3.1.2</t>
  </si>
  <si>
    <t>Providing and laying in position cement concrete of specfied grade excluding the cost of centering and shuttering-All work up to plinth level.1:1.5:3(1Cement:1.5coarse sand(Zone-III): 3 graded stone aggregate 20mm nominal size)</t>
  </si>
  <si>
    <t>SAND LOCAL-LEAD-18KM</t>
  </si>
  <si>
    <t>CHIPS-LEAD-15KM</t>
  </si>
  <si>
    <t>Add GST 18%</t>
  </si>
  <si>
    <t>Add 1% L/Cess</t>
  </si>
  <si>
    <t>Name of Work :- Construction of  PCC Road and slab at bharti compound from house of sagar chetri to house of kishor pradhan, PCC road infront of kuku apartment and PCC road at kumhar toli infront of sunil sinha house under ward no.- 48.</t>
  </si>
  <si>
    <t>4   5.3.17.1</t>
  </si>
  <si>
    <t>5   JSR
5.3.1.2</t>
  </si>
  <si>
    <t>6                  5.3.11</t>
  </si>
  <si>
    <t>10MM</t>
  </si>
  <si>
    <t xml:space="preserve">SAY RS. </t>
  </si>
  <si>
    <t>Name of Work :- Supplying fitting and fixing of R.C.C Bench under ward No-42 different place.</t>
  </si>
  <si>
    <t>SL.NO.</t>
  </si>
  <si>
    <t>ITEMS OF WORK</t>
  </si>
  <si>
    <t>Qty</t>
  </si>
  <si>
    <t>Supplying fitting and fixing of R.C.C Bench all complete as per specification and direction of E/I.</t>
  </si>
  <si>
    <t>NO.</t>
  </si>
  <si>
    <t>Sl.No.</t>
  </si>
  <si>
    <t>Items of Work</t>
  </si>
  <si>
    <t>Qnty</t>
  </si>
  <si>
    <t>3     BCD 5.1.10</t>
  </si>
  <si>
    <t>4       5.6.8</t>
  </si>
  <si>
    <t>8 mm dia. Bar</t>
  </si>
  <si>
    <t>10 mm dia bar</t>
  </si>
  <si>
    <t>CF</t>
  </si>
  <si>
    <t>BF</t>
  </si>
  <si>
    <t>7     5.3.11</t>
  </si>
  <si>
    <t>8      5.5.5.</t>
  </si>
  <si>
    <t>9    5.3.17.1</t>
  </si>
  <si>
    <t>SAND LEAD 49 KM</t>
  </si>
  <si>
    <t>LOCAL SAND LEAD 13 KM</t>
  </si>
  <si>
    <t>m4</t>
  </si>
  <si>
    <t>CHIPS LEAD 22 KM</t>
  </si>
  <si>
    <t>m5</t>
  </si>
  <si>
    <t>BOULDER LEAD 36 KM</t>
  </si>
  <si>
    <t>m6</t>
  </si>
  <si>
    <t>m7</t>
  </si>
  <si>
    <t xml:space="preserve"> Total</t>
  </si>
  <si>
    <t>BOQ FOR CONSTRUCTION OF BITUMINIOUS ROAD AT SHIV GANJ  UNDER WARD NO.21</t>
  </si>
  <si>
    <t>Tack Coat    Providing and applying TACK COAT with bitumen emulsion using emulsion pressure distributor at the rate of 0.20 kg per sqm on the prepared bituminous/granular surface cleaned with mechanical broom.</t>
  </si>
  <si>
    <t>Bituminous Macadam                  Providing ,laying and Rolling BITUMINOUS MACADAM  with 100-120 TPH hot mix plant producing an average output of 75 tonnes per hour using crushed aggregates of specified grading premixed with bituminous binder, transporting the hot mix to work site, laiying with a hydrostatic paver finisher with the sensor control to the  required grade, level and alignment, rolling with smooth wheeled, vibratory and tandem rollers to acheive the desired compaction as per MoRTH specification clause No.501.6 and 501.7 complete in all respects.</t>
  </si>
  <si>
    <t>Bituminous Concrete                                  Providing and laying BITUMINOUS CONCRETE with 100-120 TPH batch type hot mix plant producing an average output of 75 tonnes per hour using crushed aggregates of specified grading, premixed with bituminous binder @ 5.4 to 5.6 per cent of mix and filler, transporting the hot mix to work site, laying with hydrostatic paver finisher with sensor control to the required grade, level and alignment, rolling with smooth wheeled, vibratory and tandem rollers to desired compaction as per MoRTH specification clause No. 509 complete in all respects.</t>
  </si>
  <si>
    <t>Road Marking with Hot Applied Thermoplastic Compound with Refletrorising Glass Beds on Bitumenous Surface                                                         Providing and laying of hot applied thermoplastic compound 2.5 mm thick including reflectorising glass beads @ 250 gms per sqm area, thickness of 2.5 is exclusive of surface applied glass beads as per IRC:35. The finished surface to be level, uniform and free from streaks and holes.</t>
  </si>
  <si>
    <t>Stone Chips (Lead 22 KM)</t>
  </si>
  <si>
    <t>BILL OF QUANTITY LAYING OF PAVER BLOCK AT NEW PUNDAG ROAD NO. 10 UNDER WARD NO 41</t>
  </si>
  <si>
    <t>PARTICULARS OR ITEM OF WORKS</t>
  </si>
  <si>
    <t>QUANTITY</t>
  </si>
  <si>
    <t>UNIT</t>
  </si>
  <si>
    <t xml:space="preserve">RATE      (in Rs.) </t>
  </si>
  <si>
    <t>AMOUNT(in Rs.)</t>
  </si>
  <si>
    <t>1. (.J.B.C.D.5.1.1.+5.1.2.)</t>
  </si>
  <si>
    <t>Providing and laying factory made chamfered edge 80mm thick cement concrete paver block  of M-30 grade with approved colour design and pattern using in footpath ,parks ,lawns,drive ways or lighttraffic parking etc,of required strength thickness and size shape made by table vibratory method using PU mould ,laid in required coloure and pattern over 50mm thick compacted bed of sand ,compacting and proper embedding laying of interlocking  paver blocks into the sand bedding layer through vibratory compaction by using plate vibrator,filling the joints with sand cutting of paver blocks as per required size and pattern ,finishing and sweeing extra sand complete all as per direction of  E/I</t>
  </si>
  <si>
    <t>3. J.B.C.D.5.3.2.1</t>
  </si>
  <si>
    <t>Providing P.C.C.M-200 in nominal mix of (1:1.5:3) in foundation with approved quality of stone chips 20mm to 6mm size graded and clean coarse sand of F.M.2.5 to 3 including screening, shuttering,mixing cement concrete in mixer and placing in position, vibrating,striking, curing taxes and royalty all complete as per specification and direction of E/I.</t>
  </si>
  <si>
    <t>9.CARRIAGE OF MATERIALS</t>
  </si>
  <si>
    <t>ADD 18% GST</t>
  </si>
  <si>
    <t>ADD 1% LABOUR CESS</t>
  </si>
  <si>
    <t>Say Rs.</t>
  </si>
  <si>
    <t>NAME OF WORK- CONSTRUCTION OF PCC ROAD AT  MAHADEV TOLI  UNDER WARD46.</t>
  </si>
  <si>
    <t xml:space="preserve">Rate      (in Rs.) </t>
  </si>
  <si>
    <t>Amount   (in Rs.)</t>
  </si>
  <si>
    <t>JSR
5.3.1.2</t>
  </si>
  <si>
    <t>BILL OF QUANINTY</t>
  </si>
  <si>
    <t>NAME OF WORK- CONSTRUCTION OF RCC DRAIN AT ANANTPUR ROAD NO 5 NEAR SRI GOPAL APARTMENT.</t>
  </si>
  <si>
    <t>1       5.10.2</t>
  </si>
  <si>
    <t>Dismantling  plain cement concrete or lime concrete work including stacking serviceable material in countable stacks withnn 15M.lead and disposal of unserviceable material with all lead completed as per direction of E/I.</t>
  </si>
  <si>
    <t>2 .(.J.B.C.D.5.1.1.+5.1.2.)</t>
  </si>
  <si>
    <t>3.        (J.B.C.D.-5.1.10)</t>
  </si>
  <si>
    <t>4.        (J.B.C.D.-8.6.8)</t>
  </si>
  <si>
    <t xml:space="preserve">5       JSR
5.3.10 </t>
  </si>
  <si>
    <t>Reinforced cement concrete work in walls(any thickness), including attached pilasters, buttresses, plinth and string courses, fillets, columns, pillars, piers, abutments, posts and struts etc. above plinth level up to floor five level, excluding cost of centering, shuttering, finishing and reinforcement: 1:1.5:3(1 cement : 1-5 coarse sand (Zone-III) : 3 graded stone aggregate 20 mmnominaol size)</t>
  </si>
  <si>
    <t>6  JSR  5.3.11</t>
  </si>
  <si>
    <t>Reinforced cement concrete work in beams, suspended floors, roofs having slope up to 15 landings, balconies, shelves, chajjas, lintels, band, plain window sills, staircases and spiral stair cases above plinth level up to floor five level, excluding the cost of centering, shuttering, finishing and reinforcement: with 1.1.5.3</t>
  </si>
  <si>
    <t xml:space="preserve">7  5.5.5   </t>
  </si>
  <si>
    <t>Providing Tor steel reinforcement of 8mm, 10mmbars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</si>
  <si>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8              5.3.17</t>
  </si>
  <si>
    <t>Centering and shuttering including strutting, propping etc. and removal of form for</t>
  </si>
  <si>
    <t>5.3.17.1</t>
  </si>
  <si>
    <t>Foundation, footing, bases of columns, etc for mass concrete</t>
  </si>
  <si>
    <t>GST 18%</t>
  </si>
  <si>
    <t>ADD 1% L.CESS</t>
  </si>
  <si>
    <r>
      <t xml:space="preserve">RANCHI MUNICIPAL CORPORATION
</t>
    </r>
    <r>
      <rPr>
        <b/>
        <sz val="12"/>
        <color theme="1"/>
        <rFont val="Cambria"/>
        <family val="1"/>
        <scheme val="major"/>
      </rPr>
      <t>DETAIL ESTIMATE FOR CONSTRUCTION OF R.C.C drain near KARBLA CHOWK  shahid bhai home via aadob store to basar nala   UNDER  WARD NO. 16</t>
    </r>
  </si>
  <si>
    <t>QTY</t>
  </si>
  <si>
    <t xml:space="preserve">RATE          (in Rs.) </t>
  </si>
  <si>
    <t>AMOUNT 
(in Rs.)</t>
  </si>
  <si>
    <t>Providing Mandays for site clearence, unskilled labour</t>
  </si>
  <si>
    <t>No.</t>
  </si>
  <si>
    <t xml:space="preserve">2.
5.1.1.                     </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</si>
  <si>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</si>
  <si>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3.        5.1.10</t>
  </si>
  <si>
    <t>4.           5.6.8</t>
  </si>
  <si>
    <t>5.                                    5.3.10</t>
  </si>
  <si>
    <t>7                      5.5.5</t>
  </si>
  <si>
    <t>Providing Tor steel reinforcement of  10mm and 12mm dia rods  as per approved …...........do…..........TMT Fe 500(Only valid for Tata (Tiscon),SAIL,JSPL,Electrosteel Steels Ltd, Bokaro and Vizag(RINL)</t>
  </si>
  <si>
    <t xml:space="preserve"> 5.5.5 (b) 10mm dia bar 60%</t>
  </si>
  <si>
    <t xml:space="preserve">  5.5.4 (a) 8 mm dia bar 40%</t>
  </si>
  <si>
    <t>8                5.3.17.1</t>
  </si>
  <si>
    <t>(i) SAND-LEAD-49km</t>
  </si>
  <si>
    <t>(ii) SAND LOCAL-LEAD-13 KM</t>
  </si>
  <si>
    <t>(iii) CHIPS-LEAD-22 km</t>
  </si>
  <si>
    <t>(iv) BOULDER-LEAD-36 km</t>
  </si>
  <si>
    <t>(v) EARTH-LEAD-1km</t>
  </si>
  <si>
    <t>18% GST</t>
  </si>
  <si>
    <t>1% Labour Cess</t>
  </si>
  <si>
    <t>G. Total</t>
  </si>
  <si>
    <t>SAY</t>
  </si>
  <si>
    <t>BILL OF QAUNTITY</t>
  </si>
  <si>
    <t>1            5.1.1</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</si>
  <si>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</si>
  <si>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</si>
  <si>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</si>
  <si>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5.6.8</t>
  </si>
  <si>
    <t>Supplying and laying (properly as per design and drawing) rip-rap with good  quality of boulders duly packed including the cost of materials, royalty all taxes etc. but excluding the cost of carriage all complete as per specification and direction of E/I.</t>
  </si>
  <si>
    <t>4
5.3.10</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</si>
  <si>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</si>
  <si>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5 5.3.11</t>
  </si>
  <si>
    <t>Renforced cement conrete work in beams, suspended floors, having slopeup to 15' landing, balconies, shelves, chajjas, lintels, bands, plain windowsill ---------do----do-------E/I
1:1.5:3 (1 Cement : 1.5 coarse sand zone(III): 3 graded stone aggregate 20mm nominal size)</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</si>
  <si>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</si>
  <si>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(A)5.5.4</t>
  </si>
  <si>
    <t>08mm dia 40%</t>
  </si>
  <si>
    <t>M.T.</t>
  </si>
  <si>
    <t>(B)5.5.5(a)</t>
  </si>
  <si>
    <t>10mm dia 60%</t>
  </si>
  <si>
    <t>7
5.3.17.1</t>
  </si>
  <si>
    <t>Centering and Shuttering including strutting, propping etc and removal of from for  
 Foundation , footing , bases of columns etc for mass concrete.</t>
  </si>
  <si>
    <t>Sand  (Lead Upto 49 km)</t>
  </si>
  <si>
    <r>
      <t>M</t>
    </r>
    <r>
      <rPr>
        <vertAlign val="superscript"/>
        <sz val="11"/>
        <rFont val="Century"/>
        <family val="1"/>
      </rPr>
      <t>3</t>
    </r>
  </si>
  <si>
    <t>Sand Local (Lead 13 KM)</t>
  </si>
  <si>
    <t>Add 1% Labour Cess (+) :</t>
  </si>
  <si>
    <t>Grand Total</t>
  </si>
  <si>
    <t xml:space="preserve">Say RS. </t>
  </si>
  <si>
    <t>Add 18%  GST</t>
  </si>
  <si>
    <t>Add 1 % L Cess</t>
  </si>
  <si>
    <t xml:space="preserve">1% L Cess </t>
  </si>
  <si>
    <t>Stone Dust (Lead 22 KM)</t>
  </si>
  <si>
    <t>RANCHI  MUNICIPAL  CORPORATION,  RANCHI</t>
  </si>
  <si>
    <t>NAME OF WORK:- CONSTRUCTION OF RCC DRAIN AT BANIYA TOLI ROAD NO 1 HOUSE OF NIRAJ ANUP TOPPO TO HOUSE OF SURAJ JI UNDER WARD NO-2 OF RMC, RANCHI</t>
  </si>
  <si>
    <t>1                 5.1.1</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</si>
  <si>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</si>
  <si>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2.     5.1.10</t>
  </si>
  <si>
    <t>3.         5.6.8</t>
  </si>
  <si>
    <t>4          B.C.D. 5.3.10</t>
  </si>
  <si>
    <t>Reinforced cement concrete work in walls of specified grade excluding the cost of centering and shuttering - All work up to plinth level 1:1.5:3 ( 1 cement: 1.5 course sand (zone- III): 3 graded stone agreegate 20mm nominal size)</t>
  </si>
  <si>
    <t>5.         B.C.D. 5.3.11</t>
  </si>
  <si>
    <t>Reinforced cement concrete work in beam roofs of specified grade excluding the cost of centering and shuttering - All work up to plinth level 1:1.5:3 ( 1 cement: 1.5 course sand (zone- III): 3 graded stone agreegate 20mm nominal size)</t>
  </si>
  <si>
    <t>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8MM</t>
  </si>
  <si>
    <t>10mm</t>
  </si>
  <si>
    <t>7            5.3.17.1</t>
  </si>
  <si>
    <t>`````````````````````````````````````</t>
  </si>
  <si>
    <t>LOCAL SAND-LEAD-13KM</t>
  </si>
  <si>
    <t>STONE CHIPS-LEAD-22KM</t>
  </si>
  <si>
    <t>BOULDER-LEAD-36KM</t>
  </si>
  <si>
    <t>EARTH-LEAD-1KM</t>
  </si>
  <si>
    <t xml:space="preserve">GST18% </t>
  </si>
  <si>
    <t>L CESS 1%</t>
  </si>
  <si>
    <r>
      <rPr>
        <b/>
        <sz val="11"/>
        <color theme="1"/>
        <rFont val="Century"/>
        <family val="1"/>
      </rPr>
      <t>Name of Work</t>
    </r>
    <r>
      <rPr>
        <sz val="11"/>
        <color theme="1"/>
        <rFont val="Century"/>
        <family val="1"/>
      </rPr>
      <t xml:space="preserve"> :- Construction of P.C.C road  in BrindaVan Nagar Shri Ram Chowk near Mundla  pahar from Bakunth Singh House to Vikash Singh House Under Ward No.34</t>
    </r>
  </si>
  <si>
    <t xml:space="preserve">1.            5.1.1 </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</si>
  <si>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</si>
  <si>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Sl.No.4 M-004 P.No.36 BCD</t>
  </si>
  <si>
    <t>Stone Crusher Dust finer than 3 mm with not more than 10% Passing 0.075 sieve at quarry.        Baasic Rate  = 300.00                     add 15.95%(C.P+O.H+W.C.)=347.85</t>
  </si>
  <si>
    <t>3.      5.6.8</t>
  </si>
  <si>
    <t>4. 5.3.1.1</t>
  </si>
  <si>
    <r>
      <t xml:space="preserve">Providing and Layng in Position cement concrete of specified grade excluding the cost of centring and shuttering……All work Upto plinth Level:                       </t>
    </r>
    <r>
      <rPr>
        <b/>
        <sz val="10"/>
        <color theme="1"/>
        <rFont val="Century"/>
        <family val="1"/>
      </rPr>
      <t>1:1.5:3 (1 Cement :1.5 Coarse Cement sand  (Zone III): 3 Graded stone agregate 20 mm nominal Size)</t>
    </r>
  </si>
  <si>
    <t>5  5.3.17.1</t>
  </si>
  <si>
    <t>Centering and Shuttering including struting,propping etc and removal of from for   Foundation, footing s bases of Coloumns etc for mass Concrete</t>
  </si>
  <si>
    <t>Sand  (Lead Upto 47 km)</t>
  </si>
  <si>
    <r>
      <t>M</t>
    </r>
    <r>
      <rPr>
        <vertAlign val="superscript"/>
        <sz val="10"/>
        <rFont val="Century"/>
        <family val="1"/>
      </rPr>
      <t>3</t>
    </r>
  </si>
  <si>
    <t>Sand (Lead 16 KM)</t>
  </si>
  <si>
    <t>Stone Boulder (Lead 34  KM)</t>
  </si>
  <si>
    <t>Stone Chips (Lead 20 KM)</t>
  </si>
  <si>
    <t>Add 18% GST (+)</t>
  </si>
  <si>
    <t>Add 1% Labour Cess (+)</t>
  </si>
  <si>
    <t xml:space="preserve">dk;Z dk uke%&amp;osn ukjk;.k xyh ,oa yksgjk dkspk esa efLtn ds ihNs ukyh dk fuekZ.k dk;ZA </t>
  </si>
  <si>
    <t>BOQ FOR CONSTRUCTION OF  RCC DRAIN AT PRESS GALI NEAR MOTI MASJID ROAD  UNDER WARD NO 21</t>
  </si>
  <si>
    <t>NAME OF WORK:-Construction of drain at Different Mohallah in Harmu Housing Colony (i) EWS 132 to EWS 140 and (ii) HI 192 to HI 197  Under Ward No. 25.</t>
  </si>
  <si>
    <t>.</t>
  </si>
  <si>
    <t>I 5.10.3</t>
  </si>
  <si>
    <t>Dismentalling of Rienforced Cement Concrete and………..Do…..E/I.</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</si>
  <si>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</si>
  <si>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</si>
  <si>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Stone Crusher Dust finer than 3 mm with not more than 10% Passing 0.075 sieve at quarry.        Baasic Rate  = 300.00                     add 15.95%(C.P+O.H.+W.C)=347.85</t>
  </si>
  <si>
    <t>4.      8.6.8</t>
  </si>
  <si>
    <t>5.    5.3.1.2</t>
  </si>
  <si>
    <t>1:1.5:3 (1 Cement :2 Coarse Cement sand  (Zone III): 3Graded stone agregate 20 mm nominal Size)</t>
  </si>
  <si>
    <t>6                5.2.34</t>
  </si>
  <si>
    <t>Providing rough dressed course stone masonry in cement mortar (1:4) in foundation and plinth with hammer dressed stone ……………………………. all complete as per specification and direction of E/I</t>
  </si>
  <si>
    <t>7               5.7.11          +          5.7.12</t>
  </si>
  <si>
    <t>Providing 25mm thick cement plaster (1:4) with clean course sand F.M 1.5 includin screening curing with all leads and lifts of water, scaffoling taxes and royality all complete as per specification and direction of E/I with 1.5 mm cement punning</t>
  </si>
  <si>
    <t>8. 5.3.11</t>
  </si>
  <si>
    <t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sand(zoneIII):3 graded stone aggregate                        </t>
  </si>
  <si>
    <t>9. 5.5.5 (b)</t>
  </si>
  <si>
    <t>Providing Tor steel reinforcement of 8 mm &amp; 10 mm dia rods as per approved design and drawing  ………..do………TMT Fe500(Only Valid for Tata(Tiscon),Sail,JSPL,Electrosteel Steels Ltd. Bokaro and Vizag(RINL))</t>
  </si>
  <si>
    <t>10  5.3.17.1</t>
  </si>
  <si>
    <t xml:space="preserve">Centering and Shuttering including struting,propping etc and removal of from for  Foundation, footing s bases of Coloumns etc for mass Concrete                     </t>
  </si>
  <si>
    <r>
      <t>M</t>
    </r>
    <r>
      <rPr>
        <b/>
        <vertAlign val="superscript"/>
        <sz val="10"/>
        <rFont val="Century"/>
        <family val="1"/>
      </rPr>
      <t>3</t>
    </r>
  </si>
  <si>
    <t>Stone Dust (Lead 20 KM)</t>
  </si>
  <si>
    <t>Stone Boulder (Lead 34 KM)</t>
  </si>
  <si>
    <t>Shilanyas Board</t>
  </si>
  <si>
    <t>Nos</t>
  </si>
  <si>
    <t>Add 18% GST (+) :</t>
  </si>
  <si>
    <r>
      <t xml:space="preserve">RANCHI MUNICIPAL CORPORATION
</t>
    </r>
    <r>
      <rPr>
        <b/>
        <sz val="12"/>
        <color theme="1"/>
        <rFont val="Cambria"/>
        <family val="1"/>
        <scheme val="major"/>
      </rPr>
      <t>DETAIL ESTIMATE FOR CONSTRUCTION OF R.C.C drain  and pcc road  at badshah lodge gali purulia road  UNDER  WARD NO. 17</t>
    </r>
  </si>
  <si>
    <t>5.
 5.3.1.1</t>
  </si>
  <si>
    <t>Providing and laying in position cement concrete of specified grade excluding the cost of excluding cost of centring,shuttring-All work up to plinth level;1:1.5:3(1cement:1.5 coarse sand(zone-lll):3 grade stone agreegate 20mm nominal size)..........do…..all complete as per specification and direction of E/I.</t>
  </si>
</sst>
</file>

<file path=xl/styles.xml><?xml version="1.0" encoding="utf-8"?>
<styleSheet xmlns="http://schemas.openxmlformats.org/spreadsheetml/2006/main">
  <numFmts count="5">
    <numFmt numFmtId="43" formatCode="_(* #,##0.00_);_(* \(#,##0.00\);_(* &quot;-&quot;??_);_(@_)"/>
    <numFmt numFmtId="164" formatCode="&quot;₹&quot;\ #,##0.00"/>
    <numFmt numFmtId="165" formatCode="0.000"/>
    <numFmt numFmtId="166" formatCode="_ &quot;₹&quot;\ * #,##0_ ;_ &quot;₹&quot;\ * \-#,##0_ ;_ &quot;₹&quot;\ * &quot;-&quot;??_ ;_ @_ "/>
    <numFmt numFmtId="167" formatCode="0.0"/>
  </numFmts>
  <fonts count="82">
    <font>
      <sz val="11"/>
      <color theme="1"/>
      <name val="Calibri"/>
      <charset val="134"/>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Arial"/>
      <family val="2"/>
    </font>
    <font>
      <b/>
      <sz val="11"/>
      <color theme="1"/>
      <name val="Arial"/>
      <family val="2"/>
    </font>
    <font>
      <sz val="11"/>
      <color theme="1"/>
      <name val="Arial"/>
      <family val="2"/>
    </font>
    <font>
      <sz val="11"/>
      <name val="Arial"/>
      <family val="2"/>
    </font>
    <font>
      <b/>
      <sz val="12"/>
      <color theme="1"/>
      <name val="Calibri"/>
      <family val="2"/>
      <scheme val="minor"/>
    </font>
    <font>
      <sz val="12"/>
      <color theme="1"/>
      <name val="Calibri"/>
      <family val="2"/>
      <scheme val="minor"/>
    </font>
    <font>
      <b/>
      <sz val="14"/>
      <color theme="1"/>
      <name val="Calibri"/>
      <family val="2"/>
      <scheme val="minor"/>
    </font>
    <font>
      <b/>
      <sz val="11"/>
      <color theme="1"/>
      <name val="Century"/>
      <family val="1"/>
    </font>
    <font>
      <b/>
      <sz val="18"/>
      <color theme="1"/>
      <name val="Arial"/>
      <family val="2"/>
    </font>
    <font>
      <b/>
      <sz val="12"/>
      <color theme="1"/>
      <name val="Arial"/>
      <family val="2"/>
    </font>
    <font>
      <sz val="12"/>
      <color theme="1"/>
      <name val="Arial"/>
      <family val="2"/>
    </font>
    <font>
      <b/>
      <u/>
      <sz val="20"/>
      <color theme="1"/>
      <name val="Arial"/>
      <family val="2"/>
    </font>
    <font>
      <b/>
      <u/>
      <sz val="14"/>
      <color theme="1"/>
      <name val="Arial"/>
      <family val="2"/>
    </font>
    <font>
      <b/>
      <sz val="10"/>
      <color theme="1"/>
      <name val="Arial"/>
      <family val="2"/>
    </font>
    <font>
      <b/>
      <sz val="10"/>
      <name val="Arial"/>
      <family val="2"/>
    </font>
    <font>
      <sz val="10"/>
      <color theme="1"/>
      <name val="Arial"/>
      <family val="2"/>
    </font>
    <font>
      <sz val="10"/>
      <name val="Arial"/>
      <family val="2"/>
    </font>
    <font>
      <b/>
      <i/>
      <sz val="10"/>
      <color theme="1"/>
      <name val="Arial"/>
      <family val="2"/>
    </font>
    <font>
      <b/>
      <sz val="12"/>
      <name val="Arial"/>
      <family val="2"/>
    </font>
    <font>
      <b/>
      <sz val="20"/>
      <color theme="1"/>
      <name val="Arial"/>
      <family val="2"/>
    </font>
    <font>
      <b/>
      <i/>
      <sz val="11"/>
      <color theme="1"/>
      <name val="Arial"/>
      <family val="2"/>
    </font>
    <font>
      <b/>
      <sz val="11"/>
      <name val="Arial"/>
      <family val="2"/>
    </font>
    <font>
      <b/>
      <sz val="20"/>
      <color theme="1"/>
      <name val="Calibri"/>
      <family val="2"/>
      <scheme val="minor"/>
    </font>
    <font>
      <b/>
      <sz val="16"/>
      <color theme="1"/>
      <name val="Calibri"/>
      <family val="2"/>
      <scheme val="minor"/>
    </font>
    <font>
      <b/>
      <sz val="11"/>
      <color theme="1"/>
      <name val="Times New Roman"/>
      <family val="1"/>
    </font>
    <font>
      <b/>
      <sz val="20"/>
      <color theme="1"/>
      <name val="Century"/>
      <family val="1"/>
    </font>
    <font>
      <b/>
      <sz val="16"/>
      <color theme="1"/>
      <name val="Century"/>
      <family val="1"/>
    </font>
    <font>
      <sz val="11"/>
      <color theme="1"/>
      <name val="Century"/>
      <family val="1"/>
    </font>
    <font>
      <sz val="12"/>
      <name val="Calibri"/>
      <family val="2"/>
      <scheme val="minor"/>
    </font>
    <font>
      <b/>
      <sz val="14"/>
      <color theme="1"/>
      <name val="Century"/>
      <family val="1"/>
    </font>
    <font>
      <sz val="12"/>
      <name val="Arial"/>
      <family val="2"/>
    </font>
    <font>
      <b/>
      <sz val="9"/>
      <color theme="1"/>
      <name val="Century"/>
      <family val="1"/>
    </font>
    <font>
      <b/>
      <sz val="11"/>
      <color theme="1"/>
      <name val="Calibri"/>
      <family val="2"/>
    </font>
    <font>
      <b/>
      <i/>
      <u/>
      <sz val="11"/>
      <color theme="1"/>
      <name val="Calibri"/>
      <family val="2"/>
      <scheme val="minor"/>
    </font>
    <font>
      <sz val="9"/>
      <color theme="1"/>
      <name val="Times New Roman"/>
      <family val="1"/>
    </font>
    <font>
      <sz val="22"/>
      <color theme="1"/>
      <name val="Century"/>
      <family val="1"/>
    </font>
    <font>
      <sz val="9"/>
      <color theme="1"/>
      <name val="Calibri"/>
      <family val="2"/>
      <scheme val="minor"/>
    </font>
    <font>
      <b/>
      <sz val="18"/>
      <color theme="1"/>
      <name val="Century"/>
      <family val="1"/>
    </font>
    <font>
      <b/>
      <sz val="10"/>
      <color theme="1"/>
      <name val="Century"/>
      <family val="1"/>
    </font>
    <font>
      <sz val="10"/>
      <color theme="1"/>
      <name val="Century"/>
      <family val="1"/>
    </font>
    <font>
      <sz val="16"/>
      <color theme="1"/>
      <name val="Calibri"/>
      <family val="2"/>
      <scheme val="minor"/>
    </font>
    <font>
      <b/>
      <sz val="18"/>
      <color theme="1"/>
      <name val="Calibri"/>
      <family val="2"/>
      <scheme val="minor"/>
    </font>
    <font>
      <b/>
      <u/>
      <sz val="12"/>
      <color theme="1"/>
      <name val="Calibri"/>
      <family val="2"/>
      <scheme val="minor"/>
    </font>
    <font>
      <b/>
      <i/>
      <u/>
      <sz val="12"/>
      <color theme="1"/>
      <name val="Calibri"/>
      <family val="2"/>
      <scheme val="minor"/>
    </font>
    <font>
      <sz val="10"/>
      <color theme="1"/>
      <name val="Calibri"/>
      <family val="2"/>
      <scheme val="minor"/>
    </font>
    <font>
      <sz val="11"/>
      <color theme="1"/>
      <name val="Calibri"/>
      <charset val="134"/>
      <scheme val="minor"/>
    </font>
    <font>
      <b/>
      <u/>
      <sz val="11"/>
      <color theme="1"/>
      <name val="Cambria"/>
      <family val="1"/>
      <scheme val="major"/>
    </font>
    <font>
      <b/>
      <u/>
      <sz val="11"/>
      <color theme="1"/>
      <name val="Calibri"/>
      <family val="2"/>
      <scheme val="minor"/>
    </font>
    <font>
      <b/>
      <i/>
      <sz val="12"/>
      <color theme="1"/>
      <name val="Calibri"/>
      <family val="2"/>
      <scheme val="minor"/>
    </font>
    <font>
      <b/>
      <sz val="20"/>
      <color theme="1"/>
      <name val="Cambria"/>
      <family val="1"/>
      <scheme val="major"/>
    </font>
    <font>
      <b/>
      <sz val="12"/>
      <color theme="1"/>
      <name val="Cambria"/>
      <family val="1"/>
      <scheme val="major"/>
    </font>
    <font>
      <b/>
      <sz val="12"/>
      <color theme="1"/>
      <name val="Century"/>
      <family val="1"/>
    </font>
    <font>
      <b/>
      <sz val="12"/>
      <color theme="1"/>
      <name val="Calibri"/>
      <family val="2"/>
    </font>
    <font>
      <sz val="12"/>
      <color theme="1"/>
      <name val="Calibri"/>
      <family val="2"/>
    </font>
    <font>
      <b/>
      <i/>
      <sz val="14"/>
      <color theme="1"/>
      <name val="Calibri"/>
      <family val="2"/>
      <scheme val="minor"/>
    </font>
    <font>
      <sz val="11"/>
      <color theme="1"/>
      <name val="Calibri"/>
      <family val="2"/>
    </font>
    <font>
      <b/>
      <i/>
      <sz val="16"/>
      <color theme="1"/>
      <name val="Calibri"/>
      <family val="2"/>
    </font>
    <font>
      <b/>
      <u/>
      <sz val="20"/>
      <color theme="1"/>
      <name val="Century"/>
      <family val="1"/>
    </font>
    <font>
      <sz val="9"/>
      <color theme="1"/>
      <name val="Century"/>
      <family val="1"/>
    </font>
    <font>
      <sz val="8"/>
      <color theme="1"/>
      <name val="Century"/>
      <family val="1"/>
    </font>
    <font>
      <sz val="11"/>
      <name val="Century"/>
      <family val="1"/>
    </font>
    <font>
      <vertAlign val="superscript"/>
      <sz val="11"/>
      <name val="Century"/>
      <family val="1"/>
    </font>
    <font>
      <b/>
      <sz val="10"/>
      <color theme="1"/>
      <name val="Calibri"/>
      <family val="2"/>
      <scheme val="minor"/>
    </font>
    <font>
      <sz val="10"/>
      <color indexed="8"/>
      <name val="Calibri"/>
      <family val="2"/>
      <scheme val="minor"/>
    </font>
    <font>
      <sz val="18"/>
      <color theme="1"/>
      <name val="Century"/>
      <family val="1"/>
    </font>
    <font>
      <sz val="10.5"/>
      <color theme="1"/>
      <name val="Century"/>
      <family val="1"/>
    </font>
    <font>
      <sz val="10"/>
      <name val="Century"/>
      <family val="1"/>
    </font>
    <font>
      <vertAlign val="superscript"/>
      <sz val="10"/>
      <name val="Century"/>
      <family val="1"/>
    </font>
    <font>
      <sz val="20"/>
      <color theme="1"/>
      <name val="Calibri"/>
      <family val="2"/>
      <scheme val="minor"/>
    </font>
    <font>
      <b/>
      <sz val="14"/>
      <color theme="1"/>
      <name val="Kruti Dev 010"/>
    </font>
    <font>
      <b/>
      <sz val="10"/>
      <color theme="1"/>
      <name val="Times New Roman"/>
      <family val="1"/>
    </font>
    <font>
      <b/>
      <u/>
      <sz val="16"/>
      <color theme="1"/>
      <name val="Cambria"/>
      <family val="1"/>
      <scheme val="major"/>
    </font>
    <font>
      <b/>
      <u/>
      <sz val="16"/>
      <color theme="1"/>
      <name val="Calibri"/>
      <family val="2"/>
      <scheme val="minor"/>
    </font>
    <font>
      <sz val="8"/>
      <name val="Century"/>
      <family val="1"/>
    </font>
    <font>
      <b/>
      <sz val="10"/>
      <name val="Century"/>
      <family val="1"/>
    </font>
    <font>
      <b/>
      <vertAlign val="superscript"/>
      <sz val="10"/>
      <name val="Century"/>
      <family val="1"/>
    </font>
    <font>
      <b/>
      <sz val="8"/>
      <color theme="1"/>
      <name val="Century"/>
      <family val="1"/>
    </font>
    <font>
      <sz val="12"/>
      <color theme="1"/>
      <name val="Century"/>
      <family val="1"/>
    </font>
  </fonts>
  <fills count="7">
    <fill>
      <patternFill patternType="none"/>
    </fill>
    <fill>
      <patternFill patternType="gray125"/>
    </fill>
    <fill>
      <patternFill patternType="solid">
        <fgColor theme="0"/>
        <bgColor indexed="64"/>
      </patternFill>
    </fill>
    <fill>
      <patternFill patternType="solid">
        <fgColor rgb="FFA6A6A6"/>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1" tint="0.249977111117893"/>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49" fillId="0" borderId="0" applyFont="0" applyFill="0" applyBorder="0" applyAlignment="0" applyProtection="0"/>
    <xf numFmtId="0" fontId="1" fillId="0" borderId="0"/>
  </cellStyleXfs>
  <cellXfs count="553">
    <xf numFmtId="0" fontId="0" fillId="0" borderId="0" xfId="0"/>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164" fontId="5" fillId="0" borderId="4" xfId="0" applyNumberFormat="1" applyFont="1" applyBorder="1" applyAlignment="1">
      <alignment horizontal="center" vertical="center" wrapText="1"/>
    </xf>
    <xf numFmtId="0" fontId="6" fillId="0" borderId="4" xfId="0" applyFont="1" applyBorder="1" applyAlignment="1">
      <alignment horizontal="justify" vertical="top" wrapText="1"/>
    </xf>
    <xf numFmtId="2" fontId="5" fillId="0" borderId="4" xfId="0" applyNumberFormat="1" applyFont="1" applyBorder="1" applyAlignment="1">
      <alignment horizontal="center" vertical="center"/>
    </xf>
    <xf numFmtId="2" fontId="6" fillId="0" borderId="4" xfId="0" applyNumberFormat="1" applyFont="1" applyBorder="1" applyAlignment="1">
      <alignment horizontal="center" vertical="center"/>
    </xf>
    <xf numFmtId="164" fontId="5" fillId="0" borderId="4" xfId="0" applyNumberFormat="1" applyFont="1" applyBorder="1" applyAlignment="1">
      <alignment horizontal="center" vertical="center"/>
    </xf>
    <xf numFmtId="0" fontId="7" fillId="0" borderId="4" xfId="0" applyFont="1" applyBorder="1" applyAlignment="1" applyProtection="1">
      <alignment horizontal="justify" vertical="top"/>
      <protection locked="0"/>
    </xf>
    <xf numFmtId="0" fontId="6" fillId="0" borderId="4" xfId="0" applyFont="1" applyBorder="1" applyAlignment="1">
      <alignment horizontal="center" vertical="center" wrapText="1"/>
    </xf>
    <xf numFmtId="0" fontId="5" fillId="0" borderId="4" xfId="0" applyFont="1" applyBorder="1" applyAlignment="1">
      <alignment horizontal="justify" vertical="center" wrapText="1"/>
    </xf>
    <xf numFmtId="2" fontId="6" fillId="0" borderId="4" xfId="0" applyNumberFormat="1" applyFont="1" applyBorder="1" applyAlignment="1">
      <alignment horizontal="center"/>
    </xf>
    <xf numFmtId="2" fontId="6" fillId="0" borderId="4" xfId="0" applyNumberFormat="1" applyFont="1" applyBorder="1" applyAlignment="1">
      <alignment horizontal="right"/>
    </xf>
    <xf numFmtId="0" fontId="5" fillId="0" borderId="4" xfId="0" applyFont="1" applyBorder="1" applyAlignment="1">
      <alignment horizontal="center"/>
    </xf>
    <xf numFmtId="164" fontId="5" fillId="0" borderId="4" xfId="0" applyNumberFormat="1" applyFont="1" applyBorder="1" applyAlignment="1">
      <alignment horizontal="center"/>
    </xf>
    <xf numFmtId="0" fontId="5" fillId="0" borderId="4" xfId="0" applyFont="1" applyBorder="1"/>
    <xf numFmtId="0" fontId="8" fillId="0" borderId="0" xfId="0" applyFont="1"/>
    <xf numFmtId="0" fontId="9" fillId="0" borderId="0" xfId="0" applyFont="1" applyAlignment="1">
      <alignment horizontal="left" vertical="top"/>
    </xf>
    <xf numFmtId="164" fontId="10" fillId="0" borderId="0" xfId="0" applyNumberFormat="1" applyFont="1" applyAlignment="1">
      <alignment horizontal="center" vertical="center"/>
    </xf>
    <xf numFmtId="0" fontId="0" fillId="0" borderId="0" xfId="0" applyAlignment="1">
      <alignment horizontal="center" vertical="center"/>
    </xf>
    <xf numFmtId="164" fontId="0" fillId="0" borderId="0" xfId="0" applyNumberFormat="1"/>
    <xf numFmtId="0" fontId="10" fillId="0" borderId="0" xfId="0" applyFont="1" applyAlignment="1">
      <alignment horizontal="left" vertical="center"/>
    </xf>
    <xf numFmtId="0" fontId="10" fillId="0" borderId="0" xfId="0" applyFont="1" applyAlignment="1">
      <alignment horizontal="center"/>
    </xf>
    <xf numFmtId="0" fontId="3" fillId="0" borderId="0" xfId="0" applyFont="1" applyAlignment="1">
      <alignment horizontal="center" vertical="center"/>
    </xf>
    <xf numFmtId="0" fontId="11" fillId="0" borderId="4" xfId="0" applyFont="1" applyBorder="1" applyAlignment="1">
      <alignment horizontal="center" vertical="center" wrapText="1"/>
    </xf>
    <xf numFmtId="1" fontId="3" fillId="0" borderId="4"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1" fontId="3" fillId="0" borderId="4"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1" fontId="3" fillId="0" borderId="0" xfId="0" applyNumberFormat="1" applyFont="1" applyAlignment="1">
      <alignment horizontal="center" vertical="center"/>
    </xf>
    <xf numFmtId="0" fontId="3" fillId="0" borderId="0" xfId="0" applyFont="1" applyAlignment="1">
      <alignment horizontal="center" vertical="center" wrapText="1"/>
    </xf>
    <xf numFmtId="1" fontId="3" fillId="0" borderId="0" xfId="0" applyNumberFormat="1" applyFont="1" applyAlignment="1">
      <alignment horizontal="center" vertical="center" wrapText="1"/>
    </xf>
    <xf numFmtId="2" fontId="3" fillId="0" borderId="0" xfId="0" applyNumberFormat="1" applyFont="1" applyAlignment="1">
      <alignment horizontal="center" vertical="center"/>
    </xf>
    <xf numFmtId="2" fontId="5" fillId="0" borderId="4" xfId="0" applyNumberFormat="1" applyFont="1" applyBorder="1" applyAlignment="1">
      <alignment horizontal="center" vertical="center" wrapText="1"/>
    </xf>
    <xf numFmtId="0" fontId="6" fillId="0" borderId="4" xfId="0" applyFont="1" applyBorder="1" applyAlignment="1">
      <alignment horizontal="justify" vertical="top"/>
    </xf>
    <xf numFmtId="2" fontId="6" fillId="0" borderId="4" xfId="0" applyNumberFormat="1" applyFont="1" applyBorder="1" applyAlignment="1">
      <alignment horizontal="justify" vertical="top"/>
    </xf>
    <xf numFmtId="0" fontId="5" fillId="0" borderId="0" xfId="0" applyFont="1"/>
    <xf numFmtId="0" fontId="6" fillId="0" borderId="0" xfId="0" applyFont="1" applyAlignment="1">
      <alignment horizontal="left" vertical="top"/>
    </xf>
    <xf numFmtId="164" fontId="5" fillId="0" borderId="0" xfId="0" applyNumberFormat="1" applyFont="1" applyAlignment="1">
      <alignment horizontal="center" vertical="center"/>
    </xf>
    <xf numFmtId="0" fontId="13" fillId="0" borderId="0" xfId="0" applyFont="1"/>
    <xf numFmtId="0" fontId="14" fillId="0" borderId="0" xfId="0" applyFont="1" applyAlignment="1">
      <alignment horizontal="left" vertical="top"/>
    </xf>
    <xf numFmtId="164" fontId="4"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xf numFmtId="0" fontId="4" fillId="0" borderId="0" xfId="0" applyFont="1" applyAlignment="1">
      <alignment horizontal="left" vertical="center"/>
    </xf>
    <xf numFmtId="0" fontId="4" fillId="0" borderId="0" xfId="0" applyFont="1" applyAlignment="1">
      <alignment horizontal="center"/>
    </xf>
    <xf numFmtId="0" fontId="4" fillId="0" borderId="0" xfId="0" applyFont="1" applyAlignment="1">
      <alignment horizontal="center" vertical="center"/>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164" fontId="18" fillId="0" borderId="4" xfId="0" applyNumberFormat="1" applyFont="1" applyBorder="1" applyAlignment="1">
      <alignment horizontal="center" wrapText="1"/>
    </xf>
    <xf numFmtId="0" fontId="19" fillId="0" borderId="4" xfId="0" applyFont="1" applyBorder="1" applyAlignment="1">
      <alignment horizontal="justify" vertical="center" wrapText="1"/>
    </xf>
    <xf numFmtId="2" fontId="17" fillId="0" borderId="4" xfId="0" applyNumberFormat="1" applyFont="1" applyBorder="1" applyAlignment="1">
      <alignment horizontal="center" vertical="center"/>
    </xf>
    <xf numFmtId="2" fontId="19" fillId="0" borderId="4" xfId="0" applyNumberFormat="1" applyFont="1" applyBorder="1" applyAlignment="1">
      <alignment horizontal="center" vertical="center"/>
    </xf>
    <xf numFmtId="164" fontId="18" fillId="0" borderId="4" xfId="0" applyNumberFormat="1" applyFont="1" applyBorder="1" applyAlignment="1">
      <alignment horizontal="center" vertical="center" wrapText="1"/>
    </xf>
    <xf numFmtId="0" fontId="20" fillId="0" borderId="4" xfId="0" applyFont="1" applyBorder="1" applyAlignment="1" applyProtection="1">
      <alignment horizontal="justify" vertical="top"/>
      <protection locked="0"/>
    </xf>
    <xf numFmtId="164" fontId="18" fillId="0" borderId="4" xfId="0" applyNumberFormat="1" applyFont="1" applyBorder="1" applyAlignment="1">
      <alignment horizontal="center" vertical="center"/>
    </xf>
    <xf numFmtId="0" fontId="19" fillId="0" borderId="4" xfId="0" applyFont="1" applyBorder="1" applyAlignment="1">
      <alignment horizontal="justify" vertical="top" wrapText="1"/>
    </xf>
    <xf numFmtId="2" fontId="19" fillId="0" borderId="4" xfId="0" applyNumberFormat="1" applyFont="1" applyBorder="1" applyAlignment="1">
      <alignment horizontal="center" vertical="center" wrapText="1"/>
    </xf>
    <xf numFmtId="0" fontId="19" fillId="0" borderId="4" xfId="0" applyFont="1" applyBorder="1" applyAlignment="1">
      <alignment horizontal="center" vertical="center" wrapText="1"/>
    </xf>
    <xf numFmtId="164" fontId="18" fillId="0" borderId="4" xfId="0" applyNumberFormat="1" applyFont="1" applyBorder="1" applyAlignment="1" applyProtection="1">
      <alignment horizontal="center" vertical="center"/>
      <protection locked="0"/>
    </xf>
    <xf numFmtId="0" fontId="21" fillId="0" borderId="4" xfId="0" applyFont="1" applyBorder="1" applyAlignment="1">
      <alignment horizontal="justify" vertical="center" wrapText="1"/>
    </xf>
    <xf numFmtId="2" fontId="19" fillId="0" borderId="4" xfId="0" applyNumberFormat="1" applyFont="1" applyBorder="1" applyAlignment="1">
      <alignment horizontal="center"/>
    </xf>
    <xf numFmtId="164" fontId="18" fillId="0" borderId="4" xfId="0" applyNumberFormat="1" applyFont="1" applyBorder="1" applyAlignment="1">
      <alignment horizontal="center"/>
    </xf>
    <xf numFmtId="0" fontId="19" fillId="0" borderId="4" xfId="0" applyFont="1" applyBorder="1" applyAlignment="1">
      <alignment horizontal="justify" vertical="center"/>
    </xf>
    <xf numFmtId="2" fontId="19" fillId="0" borderId="4" xfId="0" applyNumberFormat="1" applyFont="1" applyBorder="1" applyAlignment="1">
      <alignment horizontal="justify" vertical="center"/>
    </xf>
    <xf numFmtId="0" fontId="17" fillId="0" borderId="4" xfId="0" applyFont="1" applyBorder="1"/>
    <xf numFmtId="0" fontId="17" fillId="0" borderId="4" xfId="0" applyFont="1" applyBorder="1" applyAlignment="1">
      <alignment horizontal="justify"/>
    </xf>
    <xf numFmtId="0" fontId="17" fillId="0" borderId="0" xfId="0" applyFont="1" applyAlignment="1">
      <alignment horizontal="center" vertical="center"/>
    </xf>
    <xf numFmtId="0" fontId="19" fillId="0" borderId="0" xfId="0" applyFont="1" applyAlignment="1">
      <alignment horizontal="justify"/>
    </xf>
    <xf numFmtId="0" fontId="19" fillId="0" borderId="0" xfId="0" applyFont="1"/>
    <xf numFmtId="164" fontId="18" fillId="0" borderId="0" xfId="0" applyNumberFormat="1" applyFont="1"/>
    <xf numFmtId="0" fontId="13" fillId="0" borderId="0" xfId="0" applyFont="1" applyAlignment="1">
      <alignment horizontal="center" vertical="center"/>
    </xf>
    <xf numFmtId="0" fontId="14" fillId="0" borderId="0" xfId="0" applyFont="1" applyAlignment="1">
      <alignment horizontal="justify"/>
    </xf>
    <xf numFmtId="0" fontId="14" fillId="0" borderId="0" xfId="0" applyFont="1"/>
    <xf numFmtId="164" fontId="22" fillId="0" borderId="0" xfId="0" applyNumberFormat="1" applyFont="1"/>
    <xf numFmtId="0" fontId="13" fillId="0" borderId="0" xfId="0" applyFont="1" applyAlignment="1">
      <alignment horizontal="justify" vertical="center"/>
    </xf>
    <xf numFmtId="0" fontId="6" fillId="0" borderId="4" xfId="0" applyFont="1" applyBorder="1" applyAlignment="1">
      <alignment horizontal="left" vertical="top" wrapText="1"/>
    </xf>
    <xf numFmtId="0" fontId="24" fillId="0" borderId="4" xfId="0" applyFont="1" applyBorder="1" applyAlignment="1">
      <alignment horizontal="justify" vertical="center" wrapText="1"/>
    </xf>
    <xf numFmtId="164" fontId="25" fillId="0" borderId="4" xfId="0" applyNumberFormat="1" applyFont="1" applyBorder="1" applyAlignment="1">
      <alignment horizontal="center" vertical="center" wrapText="1"/>
    </xf>
    <xf numFmtId="164" fontId="5" fillId="0" borderId="0" xfId="0" applyNumberFormat="1" applyFont="1"/>
    <xf numFmtId="0" fontId="3" fillId="0" borderId="0" xfId="0" applyFont="1"/>
    <xf numFmtId="0" fontId="27" fillId="0" borderId="0" xfId="0" applyFont="1" applyAlignment="1">
      <alignment vertical="top"/>
    </xf>
    <xf numFmtId="0" fontId="27" fillId="0" borderId="0" xfId="0" applyFont="1" applyAlignment="1">
      <alignment vertical="center"/>
    </xf>
    <xf numFmtId="0" fontId="20" fillId="0" borderId="4" xfId="0" applyFont="1" applyBorder="1" applyAlignment="1">
      <alignment horizontal="justify" vertical="top" wrapText="1"/>
    </xf>
    <xf numFmtId="2" fontId="18" fillId="0" borderId="4" xfId="0" applyNumberFormat="1" applyFont="1" applyBorder="1" applyAlignment="1">
      <alignment horizontal="center" vertical="center"/>
    </xf>
    <xf numFmtId="2" fontId="19" fillId="0" borderId="4" xfId="0" applyNumberFormat="1" applyFont="1" applyBorder="1" applyAlignment="1">
      <alignment horizontal="center" vertical="top"/>
    </xf>
    <xf numFmtId="0" fontId="19" fillId="0" borderId="4" xfId="0" applyFont="1" applyBorder="1" applyAlignment="1">
      <alignment horizontal="justify" wrapText="1"/>
    </xf>
    <xf numFmtId="0" fontId="2" fillId="0" borderId="0" xfId="0" applyFont="1"/>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164" fontId="8" fillId="0" borderId="4" xfId="0" applyNumberFormat="1" applyFont="1" applyBorder="1" applyAlignment="1">
      <alignment horizontal="center" vertical="center" wrapText="1"/>
    </xf>
    <xf numFmtId="0" fontId="9" fillId="0" borderId="4" xfId="0" applyFont="1" applyBorder="1" applyAlignment="1">
      <alignment horizontal="center" vertical="center"/>
    </xf>
    <xf numFmtId="2" fontId="8" fillId="0" borderId="4" xfId="0" applyNumberFormat="1" applyFont="1" applyBorder="1" applyAlignment="1">
      <alignment horizontal="center" vertical="center"/>
    </xf>
    <xf numFmtId="2" fontId="9" fillId="0" borderId="4"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9" fillId="0" borderId="4" xfId="0" applyFont="1" applyBorder="1" applyAlignment="1">
      <alignment horizontal="justify" vertical="top" wrapText="1"/>
    </xf>
    <xf numFmtId="0" fontId="32" fillId="0" borderId="4" xfId="0" applyFont="1" applyBorder="1" applyAlignment="1" applyProtection="1">
      <alignment horizontal="justify" vertical="top"/>
      <protection locked="0"/>
    </xf>
    <xf numFmtId="0" fontId="9" fillId="0" borderId="4" xfId="0" applyFont="1" applyBorder="1" applyAlignment="1">
      <alignment horizontal="center" vertical="center" wrapText="1"/>
    </xf>
    <xf numFmtId="0" fontId="8" fillId="0" borderId="4" xfId="0" applyFont="1" applyBorder="1" applyAlignment="1">
      <alignment horizontal="justify" vertical="center" wrapText="1"/>
    </xf>
    <xf numFmtId="2" fontId="9" fillId="0" borderId="4" xfId="0" applyNumberFormat="1" applyFont="1" applyBorder="1" applyAlignment="1">
      <alignment horizontal="center"/>
    </xf>
    <xf numFmtId="2" fontId="9" fillId="0" borderId="4" xfId="0" applyNumberFormat="1" applyFont="1" applyBorder="1" applyAlignment="1">
      <alignment horizontal="right"/>
    </xf>
    <xf numFmtId="0" fontId="8" fillId="0" borderId="4" xfId="0" applyFont="1" applyBorder="1" applyAlignment="1">
      <alignment horizontal="center"/>
    </xf>
    <xf numFmtId="0" fontId="9" fillId="0" borderId="4" xfId="0" applyFont="1" applyBorder="1" applyAlignment="1">
      <alignment horizontal="justify" vertical="top"/>
    </xf>
    <xf numFmtId="2" fontId="9" fillId="0" borderId="4" xfId="0" applyNumberFormat="1" applyFont="1" applyBorder="1" applyAlignment="1">
      <alignment horizontal="justify" vertical="top"/>
    </xf>
    <xf numFmtId="0" fontId="8" fillId="0" borderId="4" xfId="0" applyFont="1" applyBorder="1"/>
    <xf numFmtId="164" fontId="10" fillId="0" borderId="4" xfId="0" applyNumberFormat="1" applyFont="1" applyBorder="1" applyAlignment="1">
      <alignment horizontal="center" vertical="center"/>
    </xf>
    <xf numFmtId="0" fontId="8" fillId="0" borderId="0" xfId="0" applyFont="1" applyBorder="1"/>
    <xf numFmtId="0" fontId="9" fillId="0" borderId="0" xfId="0" applyFont="1" applyBorder="1" applyAlignment="1">
      <alignment horizontal="left" vertical="top"/>
    </xf>
    <xf numFmtId="164" fontId="10" fillId="0" borderId="0" xfId="0" applyNumberFormat="1" applyFont="1" applyBorder="1" applyAlignment="1">
      <alignment horizontal="center" vertical="center"/>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164" fontId="13" fillId="0" borderId="4" xfId="0" applyNumberFormat="1" applyFont="1" applyBorder="1" applyAlignment="1">
      <alignment horizontal="center" vertical="center" wrapText="1"/>
    </xf>
    <xf numFmtId="0" fontId="14" fillId="0" borderId="4" xfId="0" applyFont="1" applyBorder="1" applyAlignment="1">
      <alignment horizontal="left" vertical="top"/>
    </xf>
    <xf numFmtId="2" fontId="13" fillId="0" borderId="4" xfId="0" applyNumberFormat="1" applyFont="1" applyBorder="1" applyAlignment="1">
      <alignment horizontal="center" vertical="center"/>
    </xf>
    <xf numFmtId="2" fontId="14" fillId="0" borderId="4" xfId="0" applyNumberFormat="1" applyFont="1" applyBorder="1" applyAlignment="1">
      <alignment horizontal="center" vertical="center"/>
    </xf>
    <xf numFmtId="164" fontId="13" fillId="0" borderId="4" xfId="0" applyNumberFormat="1" applyFont="1" applyBorder="1" applyAlignment="1">
      <alignment horizontal="center" vertical="center"/>
    </xf>
    <xf numFmtId="0" fontId="14" fillId="0" borderId="4" xfId="0" applyFont="1" applyBorder="1" applyAlignment="1">
      <alignment horizontal="justify" vertical="top" wrapText="1"/>
    </xf>
    <xf numFmtId="0" fontId="34" fillId="0" borderId="4" xfId="0" applyFont="1" applyBorder="1" applyAlignment="1" applyProtection="1">
      <alignment horizontal="justify" vertical="top"/>
      <protection locked="0"/>
    </xf>
    <xf numFmtId="0" fontId="14" fillId="0" borderId="4" xfId="0" applyFont="1" applyBorder="1" applyAlignment="1">
      <alignment horizontal="center" vertical="center" wrapText="1"/>
    </xf>
    <xf numFmtId="0" fontId="13" fillId="0" borderId="4" xfId="0" applyFont="1" applyBorder="1" applyAlignment="1">
      <alignment horizontal="justify" vertical="center" wrapText="1"/>
    </xf>
    <xf numFmtId="2" fontId="14" fillId="0" borderId="4" xfId="0" applyNumberFormat="1" applyFont="1" applyBorder="1" applyAlignment="1">
      <alignment horizontal="center"/>
    </xf>
    <xf numFmtId="2" fontId="14" fillId="0" borderId="4" xfId="0" applyNumberFormat="1" applyFont="1" applyBorder="1" applyAlignment="1">
      <alignment horizontal="right"/>
    </xf>
    <xf numFmtId="0" fontId="13" fillId="0" borderId="4" xfId="0" applyFont="1" applyBorder="1" applyAlignment="1">
      <alignment horizontal="center"/>
    </xf>
    <xf numFmtId="0" fontId="14" fillId="0" borderId="4" xfId="0" applyFont="1" applyBorder="1" applyAlignment="1">
      <alignment horizontal="justify" vertical="top"/>
    </xf>
    <xf numFmtId="2" fontId="14" fillId="0" borderId="4" xfId="0" applyNumberFormat="1" applyFont="1" applyBorder="1" applyAlignment="1">
      <alignment horizontal="justify" vertical="top"/>
    </xf>
    <xf numFmtId="0" fontId="13" fillId="0" borderId="4" xfId="0" applyFont="1" applyBorder="1"/>
    <xf numFmtId="0" fontId="14" fillId="0" borderId="4" xfId="0" applyFont="1" applyBorder="1"/>
    <xf numFmtId="164" fontId="4" fillId="0" borderId="4" xfId="0" applyNumberFormat="1" applyFont="1" applyBorder="1" applyAlignment="1">
      <alignment horizontal="center" vertical="center"/>
    </xf>
    <xf numFmtId="164" fontId="3" fillId="0" borderId="0" xfId="0" applyNumberFormat="1" applyFont="1"/>
    <xf numFmtId="0" fontId="14" fillId="0" borderId="4" xfId="0" applyFont="1" applyBorder="1" applyAlignment="1">
      <alignment horizontal="center" vertical="center"/>
    </xf>
    <xf numFmtId="165" fontId="3" fillId="0" borderId="4"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2" borderId="4" xfId="0" applyFont="1" applyFill="1" applyBorder="1" applyAlignment="1">
      <alignment horizontal="center" vertical="center"/>
    </xf>
    <xf numFmtId="2" fontId="3" fillId="0" borderId="4" xfId="0" applyNumberFormat="1" applyFont="1" applyBorder="1" applyAlignment="1">
      <alignment horizontal="center" vertical="center"/>
    </xf>
    <xf numFmtId="1" fontId="3" fillId="0" borderId="7" xfId="0" applyNumberFormat="1" applyFont="1" applyBorder="1" applyAlignment="1">
      <alignment horizontal="center" vertical="center" wrapText="1"/>
    </xf>
    <xf numFmtId="0" fontId="35" fillId="0" borderId="4" xfId="0" applyFont="1" applyBorder="1" applyAlignment="1">
      <alignment horizontal="center" vertical="center"/>
    </xf>
    <xf numFmtId="2" fontId="3" fillId="0" borderId="7" xfId="0" applyNumberFormat="1" applyFont="1" applyBorder="1" applyAlignment="1">
      <alignment horizontal="center" vertical="center" wrapText="1"/>
    </xf>
    <xf numFmtId="0" fontId="3" fillId="0" borderId="4" xfId="0" applyFont="1" applyBorder="1" applyAlignment="1">
      <alignment vertical="top" wrapText="1"/>
    </xf>
    <xf numFmtId="0" fontId="3" fillId="0" borderId="4" xfId="0" applyFont="1" applyBorder="1" applyAlignment="1">
      <alignment horizontal="left" vertical="top" wrapText="1"/>
    </xf>
    <xf numFmtId="0" fontId="3" fillId="0" borderId="4" xfId="0" applyFont="1" applyBorder="1" applyAlignment="1">
      <alignment horizontal="left" wrapText="1"/>
    </xf>
    <xf numFmtId="0" fontId="3" fillId="0" borderId="4" xfId="0" applyFont="1" applyBorder="1"/>
    <xf numFmtId="0" fontId="36" fillId="0" borderId="4" xfId="0" applyFont="1" applyBorder="1" applyAlignment="1">
      <alignment horizontal="left" vertical="top" wrapText="1"/>
    </xf>
    <xf numFmtId="0" fontId="3" fillId="0" borderId="4" xfId="0" applyFont="1" applyBorder="1" applyAlignment="1">
      <alignment wrapText="1"/>
    </xf>
    <xf numFmtId="165" fontId="3" fillId="0" borderId="4" xfId="0" applyNumberFormat="1" applyFont="1" applyBorder="1" applyAlignment="1">
      <alignment horizontal="center" vertical="center"/>
    </xf>
    <xf numFmtId="0" fontId="37" fillId="0" borderId="4" xfId="0" applyFont="1" applyBorder="1" applyAlignment="1">
      <alignment horizontal="center" vertical="center" wrapText="1"/>
    </xf>
    <xf numFmtId="2" fontId="3" fillId="0" borderId="4" xfId="0" applyNumberFormat="1" applyFont="1" applyBorder="1" applyAlignment="1">
      <alignment horizontal="right"/>
    </xf>
    <xf numFmtId="2" fontId="3" fillId="0" borderId="4" xfId="0" applyNumberFormat="1" applyFont="1" applyBorder="1" applyAlignment="1">
      <alignment horizontal="center"/>
    </xf>
    <xf numFmtId="2" fontId="3" fillId="0" borderId="4" xfId="0" applyNumberFormat="1" applyFont="1" applyBorder="1" applyAlignment="1">
      <alignment horizontal="right" vertical="center"/>
    </xf>
    <xf numFmtId="2" fontId="3" fillId="0" borderId="4" xfId="0" applyNumberFormat="1" applyFont="1" applyBorder="1" applyAlignment="1">
      <alignment horizontal="center" vertical="top"/>
    </xf>
    <xf numFmtId="0" fontId="3" fillId="0" borderId="4" xfId="0" applyFont="1" applyBorder="1" applyAlignment="1">
      <alignment horizontal="center" wrapText="1"/>
    </xf>
    <xf numFmtId="0" fontId="3" fillId="0" borderId="2" xfId="0" applyFont="1" applyBorder="1" applyAlignment="1">
      <alignment horizontal="right"/>
    </xf>
    <xf numFmtId="0" fontId="3" fillId="0" borderId="3" xfId="0" applyFont="1" applyBorder="1" applyAlignment="1">
      <alignment horizontal="right"/>
    </xf>
    <xf numFmtId="0" fontId="38" fillId="3" borderId="4" xfId="0" applyFont="1" applyFill="1" applyBorder="1" applyAlignment="1">
      <alignment horizontal="center" vertical="center" wrapText="1"/>
    </xf>
    <xf numFmtId="0" fontId="0" fillId="0" borderId="4" xfId="0" applyBorder="1" applyAlignment="1">
      <alignment horizontal="center" vertical="center"/>
    </xf>
    <xf numFmtId="0" fontId="10" fillId="0" borderId="4" xfId="0" applyFont="1" applyBorder="1" applyAlignment="1">
      <alignment horizontal="center" vertical="center" wrapText="1"/>
    </xf>
    <xf numFmtId="0" fontId="27" fillId="0" borderId="4" xfId="0" applyFont="1" applyBorder="1" applyAlignment="1">
      <alignment horizontal="center" vertical="center" wrapText="1"/>
    </xf>
    <xf numFmtId="0" fontId="3" fillId="0" borderId="2" xfId="0" applyFont="1" applyBorder="1" applyAlignment="1">
      <alignment horizontal="right"/>
    </xf>
    <xf numFmtId="0" fontId="3" fillId="0" borderId="3" xfId="0" applyFont="1" applyBorder="1" applyAlignment="1">
      <alignment horizontal="right"/>
    </xf>
    <xf numFmtId="0" fontId="40" fillId="0" borderId="0" xfId="0" applyFont="1"/>
    <xf numFmtId="0" fontId="42" fillId="0" borderId="4" xfId="0" applyFont="1" applyBorder="1" applyAlignment="1">
      <alignment horizontal="center" vertical="top" wrapText="1"/>
    </xf>
    <xf numFmtId="2" fontId="42" fillId="0" borderId="4" xfId="0" applyNumberFormat="1" applyFont="1" applyBorder="1" applyAlignment="1">
      <alignment horizontal="center" vertical="top" wrapText="1"/>
    </xf>
    <xf numFmtId="0" fontId="42" fillId="0" borderId="4" xfId="0" applyFont="1" applyBorder="1" applyAlignment="1">
      <alignment horizontal="center" vertical="center" wrapText="1"/>
    </xf>
    <xf numFmtId="0" fontId="43" fillId="0" borderId="4" xfId="0" applyFont="1" applyBorder="1" applyAlignment="1">
      <alignment horizontal="center" vertical="center"/>
    </xf>
    <xf numFmtId="0" fontId="43" fillId="0" borderId="4" xfId="0" applyFont="1" applyBorder="1" applyAlignment="1">
      <alignment vertical="top" wrapText="1"/>
    </xf>
    <xf numFmtId="2" fontId="43" fillId="0" borderId="4" xfId="0" applyNumberFormat="1" applyFont="1" applyBorder="1" applyAlignment="1">
      <alignment horizontal="center" vertical="center"/>
    </xf>
    <xf numFmtId="2" fontId="42" fillId="0" borderId="4" xfId="0" applyNumberFormat="1" applyFont="1" applyBorder="1" applyAlignment="1">
      <alignment horizontal="center" vertical="center"/>
    </xf>
    <xf numFmtId="0" fontId="43" fillId="0" borderId="8" xfId="0" applyFont="1" applyBorder="1" applyAlignment="1">
      <alignment horizontal="center" vertical="center" wrapText="1"/>
    </xf>
    <xf numFmtId="0" fontId="31" fillId="0" borderId="4" xfId="0" applyFont="1" applyBorder="1" applyAlignment="1">
      <alignment vertical="top" wrapText="1"/>
    </xf>
    <xf numFmtId="0" fontId="0" fillId="0" borderId="0" xfId="0" applyAlignment="1">
      <alignment horizontal="center"/>
    </xf>
    <xf numFmtId="2" fontId="43" fillId="0" borderId="4" xfId="0" applyNumberFormat="1" applyFont="1" applyBorder="1" applyAlignment="1">
      <alignment vertical="center"/>
    </xf>
    <xf numFmtId="0" fontId="43" fillId="0" borderId="4" xfId="0" applyFont="1" applyBorder="1" applyAlignment="1">
      <alignment vertical="center"/>
    </xf>
    <xf numFmtId="0" fontId="31" fillId="0" borderId="4" xfId="0" applyFont="1" applyBorder="1"/>
    <xf numFmtId="0" fontId="43" fillId="0" borderId="4" xfId="0" applyFont="1" applyBorder="1"/>
    <xf numFmtId="2" fontId="43" fillId="0" borderId="4" xfId="0" applyNumberFormat="1" applyFont="1" applyBorder="1"/>
    <xf numFmtId="0" fontId="31" fillId="0" borderId="4" xfId="0" applyFont="1" applyBorder="1" applyAlignment="1">
      <alignment horizontal="left" vertical="top" wrapText="1"/>
    </xf>
    <xf numFmtId="2" fontId="43" fillId="0" borderId="4" xfId="0" applyNumberFormat="1" applyFont="1" applyBorder="1" applyAlignment="1">
      <alignment horizontal="center"/>
    </xf>
    <xf numFmtId="2" fontId="31" fillId="0" borderId="4" xfId="0" applyNumberFormat="1" applyFont="1" applyBorder="1" applyAlignment="1">
      <alignment horizontal="left" vertical="top" wrapText="1"/>
    </xf>
    <xf numFmtId="1" fontId="0" fillId="0" borderId="4" xfId="0" applyNumberFormat="1" applyBorder="1" applyAlignment="1">
      <alignment horizontal="center" vertical="center"/>
    </xf>
    <xf numFmtId="0" fontId="43" fillId="0" borderId="0" xfId="0" applyFont="1" applyAlignment="1">
      <alignment horizontal="center"/>
    </xf>
    <xf numFmtId="0" fontId="43" fillId="0" borderId="0" xfId="0" applyFont="1"/>
    <xf numFmtId="0" fontId="44" fillId="0" borderId="0" xfId="0" applyFont="1" applyAlignment="1">
      <alignment horizontal="center"/>
    </xf>
    <xf numFmtId="2" fontId="44" fillId="0" borderId="0" xfId="0" applyNumberFormat="1" applyFont="1" applyAlignment="1">
      <alignment horizontal="center"/>
    </xf>
    <xf numFmtId="2" fontId="40" fillId="0" borderId="0" xfId="0" applyNumberFormat="1" applyFont="1"/>
    <xf numFmtId="0" fontId="40"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wrapText="1"/>
    </xf>
    <xf numFmtId="0" fontId="3" fillId="0" borderId="4" xfId="0" applyFont="1" applyBorder="1" applyAlignment="1">
      <alignment vertical="center"/>
    </xf>
    <xf numFmtId="0" fontId="3" fillId="0" borderId="4" xfId="0" applyFont="1" applyBorder="1" applyAlignment="1">
      <alignment horizontal="right" wrapText="1"/>
    </xf>
    <xf numFmtId="0" fontId="9" fillId="0" borderId="4" xfId="0" applyFont="1" applyBorder="1" applyAlignment="1">
      <alignment vertical="top" wrapText="1"/>
    </xf>
    <xf numFmtId="2" fontId="0" fillId="0" borderId="4" xfId="0" applyNumberFormat="1" applyBorder="1" applyAlignment="1">
      <alignment horizontal="right" vertical="center"/>
    </xf>
    <xf numFmtId="2" fontId="0" fillId="0" borderId="4" xfId="0" applyNumberFormat="1" applyBorder="1" applyAlignment="1">
      <alignment horizontal="right" vertical="center" wrapText="1"/>
    </xf>
    <xf numFmtId="0" fontId="0" fillId="0" borderId="4" xfId="0" applyBorder="1" applyAlignment="1">
      <alignment horizontal="center" vertical="center" wrapText="1"/>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right" vertical="center" wrapText="1"/>
    </xf>
    <xf numFmtId="2" fontId="0" fillId="0" borderId="4" xfId="0" applyNumberFormat="1" applyBorder="1" applyAlignment="1">
      <alignment horizontal="center" wrapText="1"/>
    </xf>
    <xf numFmtId="2" fontId="0" fillId="0" borderId="4" xfId="0" applyNumberFormat="1" applyBorder="1" applyAlignment="1">
      <alignment horizontal="center" vertical="center"/>
    </xf>
    <xf numFmtId="2" fontId="3" fillId="0" borderId="4" xfId="0" applyNumberFormat="1" applyFont="1" applyBorder="1" applyAlignment="1">
      <alignment horizontal="right" wrapText="1"/>
    </xf>
    <xf numFmtId="0" fontId="0" fillId="0" borderId="0" xfId="0" applyAlignment="1">
      <alignment horizontal="center"/>
    </xf>
    <xf numFmtId="2" fontId="0" fillId="0" borderId="0" xfId="0" applyNumberFormat="1"/>
    <xf numFmtId="0" fontId="35" fillId="0" borderId="0" xfId="0" applyFont="1" applyAlignment="1">
      <alignment horizontal="right" vertical="center"/>
    </xf>
    <xf numFmtId="2" fontId="10"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xf numFmtId="0" fontId="27" fillId="0" borderId="4" xfId="0" applyFont="1"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wrapText="1"/>
    </xf>
    <xf numFmtId="0" fontId="8" fillId="0" borderId="4" xfId="0" applyFont="1" applyBorder="1" applyAlignment="1">
      <alignment horizontal="center" wrapText="1"/>
    </xf>
    <xf numFmtId="0" fontId="8" fillId="0" borderId="4" xfId="0" applyFont="1" applyBorder="1" applyAlignment="1">
      <alignment vertical="top" wrapText="1"/>
    </xf>
    <xf numFmtId="0" fontId="8" fillId="0" borderId="4" xfId="0" applyFont="1" applyBorder="1" applyAlignment="1">
      <alignment horizontal="right"/>
    </xf>
    <xf numFmtId="2" fontId="8" fillId="0" borderId="4" xfId="0" applyNumberFormat="1" applyFont="1" applyBorder="1" applyAlignment="1">
      <alignment horizontal="right"/>
    </xf>
    <xf numFmtId="0" fontId="8" fillId="0" borderId="4" xfId="0" applyFont="1" applyBorder="1" applyAlignment="1">
      <alignment horizontal="left" vertical="top" wrapText="1"/>
    </xf>
    <xf numFmtId="0" fontId="8" fillId="0" borderId="4" xfId="0" applyFont="1" applyBorder="1" applyAlignment="1">
      <alignment horizontal="left" wrapText="1"/>
    </xf>
    <xf numFmtId="2" fontId="8" fillId="0" borderId="4" xfId="0" applyNumberFormat="1" applyFont="1" applyBorder="1" applyAlignment="1">
      <alignment horizontal="center"/>
    </xf>
    <xf numFmtId="0" fontId="47" fillId="0" borderId="4" xfId="0" applyFont="1" applyBorder="1" applyAlignment="1">
      <alignment horizontal="center" vertical="center" wrapText="1"/>
    </xf>
    <xf numFmtId="2" fontId="8" fillId="0" borderId="4" xfId="0" applyNumberFormat="1" applyFont="1" applyBorder="1" applyAlignment="1">
      <alignment horizontal="right" vertical="center"/>
    </xf>
    <xf numFmtId="2" fontId="8" fillId="0" borderId="4" xfId="0" applyNumberFormat="1" applyFont="1" applyBorder="1" applyAlignment="1">
      <alignment horizontal="right" vertical="top"/>
    </xf>
    <xf numFmtId="0" fontId="8" fillId="0" borderId="4" xfId="0" applyFont="1" applyBorder="1" applyAlignment="1">
      <alignment horizontal="right" wrapText="1"/>
    </xf>
    <xf numFmtId="2" fontId="8" fillId="0" borderId="4" xfId="0" applyNumberFormat="1" applyFont="1" applyBorder="1"/>
    <xf numFmtId="0" fontId="8" fillId="0" borderId="2" xfId="0" applyFont="1" applyBorder="1" applyAlignment="1">
      <alignment horizontal="right"/>
    </xf>
    <xf numFmtId="0" fontId="8" fillId="0" borderId="3" xfId="0" applyFont="1" applyBorder="1" applyAlignment="1">
      <alignment horizontal="right"/>
    </xf>
    <xf numFmtId="166" fontId="52" fillId="0" borderId="4" xfId="0" applyNumberFormat="1" applyFont="1" applyBorder="1"/>
    <xf numFmtId="0" fontId="8" fillId="0" borderId="0" xfId="0" applyFont="1" applyAlignment="1">
      <alignment horizontal="center" vertical="center"/>
    </xf>
    <xf numFmtId="0" fontId="27" fillId="0" borderId="0" xfId="0" applyFont="1" applyAlignment="1">
      <alignment horizontal="center" vertical="center"/>
    </xf>
    <xf numFmtId="0" fontId="27" fillId="0" borderId="0" xfId="0" applyFont="1"/>
    <xf numFmtId="0" fontId="13" fillId="0" borderId="4" xfId="0" applyNumberFormat="1" applyFont="1" applyBorder="1" applyAlignment="1">
      <alignment horizontal="center" vertical="center"/>
    </xf>
    <xf numFmtId="0" fontId="13" fillId="0" borderId="4" xfId="0" applyNumberFormat="1" applyFont="1" applyBorder="1" applyAlignment="1">
      <alignment horizontal="center" vertical="center" wrapText="1"/>
    </xf>
    <xf numFmtId="2" fontId="4" fillId="0" borderId="4" xfId="0" applyNumberFormat="1" applyFont="1" applyBorder="1" applyAlignment="1">
      <alignment horizontal="center" vertical="center"/>
    </xf>
    <xf numFmtId="0" fontId="9" fillId="0" borderId="4" xfId="0" applyFont="1" applyBorder="1" applyAlignment="1">
      <alignment horizontal="justify" vertical="center" wrapText="1"/>
    </xf>
    <xf numFmtId="2" fontId="8" fillId="0" borderId="4" xfId="0" applyNumberFormat="1" applyFont="1" applyBorder="1" applyAlignment="1">
      <alignment horizontal="center" vertical="center" wrapText="1"/>
    </xf>
    <xf numFmtId="2" fontId="9" fillId="0" borderId="4" xfId="0" applyNumberFormat="1" applyFont="1" applyBorder="1" applyAlignment="1">
      <alignment horizontal="center" vertical="top" wrapText="1"/>
    </xf>
    <xf numFmtId="0" fontId="9" fillId="0" borderId="4" xfId="0" applyFont="1" applyBorder="1" applyAlignment="1">
      <alignment horizontal="center" vertical="top" wrapText="1"/>
    </xf>
    <xf numFmtId="2" fontId="8" fillId="0" borderId="4" xfId="0" applyNumberFormat="1" applyFont="1" applyBorder="1" applyAlignment="1">
      <alignment horizontal="center" vertical="top" wrapText="1"/>
    </xf>
    <xf numFmtId="0" fontId="55" fillId="0" borderId="4" xfId="0" applyFont="1" applyBorder="1" applyAlignment="1">
      <alignment horizontal="center" vertical="center" wrapText="1"/>
    </xf>
    <xf numFmtId="0" fontId="32" fillId="0" borderId="0" xfId="0" applyFont="1" applyAlignment="1">
      <alignment horizontal="justify" vertical="top" wrapText="1"/>
    </xf>
    <xf numFmtId="2" fontId="56" fillId="0" borderId="4" xfId="0" applyNumberFormat="1" applyFont="1" applyBorder="1" applyAlignment="1">
      <alignment horizontal="center" vertical="top" wrapText="1"/>
    </xf>
    <xf numFmtId="2" fontId="57" fillId="0" borderId="4" xfId="0" applyNumberFormat="1" applyFont="1" applyBorder="1" applyAlignment="1">
      <alignment horizontal="center" vertical="top"/>
    </xf>
    <xf numFmtId="0" fontId="56" fillId="0" borderId="4" xfId="0" applyFont="1" applyBorder="1" applyAlignment="1">
      <alignment horizontal="right" vertical="top" wrapText="1"/>
    </xf>
    <xf numFmtId="0" fontId="0" fillId="0" borderId="4" xfId="0" applyBorder="1" applyAlignment="1">
      <alignment horizontal="justify" vertical="top" wrapText="1"/>
    </xf>
    <xf numFmtId="2" fontId="57" fillId="0" borderId="4" xfId="0" applyNumberFormat="1" applyFont="1" applyBorder="1" applyAlignment="1">
      <alignment horizontal="center" vertical="top" wrapText="1"/>
    </xf>
    <xf numFmtId="0" fontId="57" fillId="0" borderId="4" xfId="0" applyFont="1" applyBorder="1" applyAlignment="1">
      <alignment horizontal="center" vertical="top" wrapText="1"/>
    </xf>
    <xf numFmtId="0" fontId="56" fillId="0" borderId="4" xfId="0" applyFont="1" applyBorder="1" applyAlignment="1">
      <alignment horizontal="center" vertical="top" wrapText="1"/>
    </xf>
    <xf numFmtId="0" fontId="9" fillId="0" borderId="4" xfId="0" applyFont="1" applyBorder="1" applyAlignment="1">
      <alignment horizontal="justify" wrapText="1"/>
    </xf>
    <xf numFmtId="165" fontId="56" fillId="0" borderId="4" xfId="0" applyNumberFormat="1" applyFont="1" applyBorder="1" applyAlignment="1">
      <alignment horizontal="center" vertical="top" wrapText="1"/>
    </xf>
    <xf numFmtId="2" fontId="56" fillId="0" borderId="4" xfId="0" applyNumberFormat="1" applyFont="1" applyBorder="1" applyAlignment="1">
      <alignment horizontal="right" vertical="top" wrapText="1"/>
    </xf>
    <xf numFmtId="0" fontId="58" fillId="0" borderId="4" xfId="0" applyFont="1" applyBorder="1" applyAlignment="1">
      <alignment horizontal="justify" vertical="top" wrapText="1"/>
    </xf>
    <xf numFmtId="2" fontId="57" fillId="0" borderId="4" xfId="0" applyNumberFormat="1" applyFont="1" applyBorder="1" applyAlignment="1">
      <alignment horizontal="center" wrapText="1"/>
    </xf>
    <xf numFmtId="0" fontId="57" fillId="0" borderId="4" xfId="0" applyFont="1" applyBorder="1" applyAlignment="1">
      <alignment horizontal="center" wrapText="1"/>
    </xf>
    <xf numFmtId="2" fontId="56" fillId="0" borderId="4" xfId="0" applyNumberFormat="1" applyFont="1" applyBorder="1" applyAlignment="1">
      <alignment horizontal="center" wrapText="1"/>
    </xf>
    <xf numFmtId="0" fontId="9" fillId="0" borderId="4" xfId="0" applyFont="1" applyBorder="1" applyAlignment="1">
      <alignment horizontal="justify"/>
    </xf>
    <xf numFmtId="0" fontId="8" fillId="0" borderId="0" xfId="0" applyFont="1" applyAlignment="1">
      <alignment wrapText="1"/>
    </xf>
    <xf numFmtId="0" fontId="56" fillId="0" borderId="4" xfId="0" applyFont="1" applyBorder="1" applyAlignment="1">
      <alignment horizontal="right" wrapText="1"/>
    </xf>
    <xf numFmtId="0" fontId="59" fillId="0" borderId="4" xfId="0" applyFont="1" applyBorder="1"/>
    <xf numFmtId="2" fontId="56" fillId="0" borderId="4" xfId="0" applyNumberFormat="1" applyFont="1" applyBorder="1" applyAlignment="1">
      <alignment horizontal="center"/>
    </xf>
    <xf numFmtId="2" fontId="56" fillId="0" borderId="4" xfId="1" applyNumberFormat="1" applyFont="1" applyBorder="1" applyAlignment="1">
      <alignment horizontal="center" vertical="center"/>
    </xf>
    <xf numFmtId="0" fontId="59" fillId="0" borderId="0" xfId="0" applyFont="1"/>
    <xf numFmtId="0" fontId="56" fillId="0" borderId="4" xfId="0" applyFont="1" applyBorder="1" applyAlignment="1">
      <alignment horizontal="center" vertical="center"/>
    </xf>
    <xf numFmtId="0" fontId="60" fillId="0" borderId="4" xfId="0" applyFont="1" applyBorder="1" applyAlignment="1">
      <alignment horizontal="center"/>
    </xf>
    <xf numFmtId="0" fontId="9" fillId="0" borderId="4" xfId="0" applyFont="1" applyBorder="1" applyAlignment="1">
      <alignment horizontal="left" vertical="top" wrapText="1"/>
    </xf>
    <xf numFmtId="0" fontId="62" fillId="0" borderId="4" xfId="0" applyFont="1" applyBorder="1" applyAlignment="1">
      <alignment horizontal="center"/>
    </xf>
    <xf numFmtId="0" fontId="35" fillId="0" borderId="4" xfId="0" applyFont="1" applyBorder="1" applyAlignment="1">
      <alignment horizontal="center"/>
    </xf>
    <xf numFmtId="164" fontId="62" fillId="0" borderId="4" xfId="0" applyNumberFormat="1" applyFont="1" applyBorder="1" applyAlignment="1">
      <alignment horizontal="center"/>
    </xf>
    <xf numFmtId="2" fontId="43" fillId="0" borderId="4" xfId="0" applyNumberFormat="1" applyFont="1" applyBorder="1" applyAlignment="1">
      <alignment horizontal="center" wrapText="1"/>
    </xf>
    <xf numFmtId="0" fontId="43" fillId="0" borderId="4" xfId="0" applyFont="1" applyBorder="1" applyAlignment="1">
      <alignment horizontal="center" wrapText="1"/>
    </xf>
    <xf numFmtId="0" fontId="42" fillId="0" borderId="4" xfId="0" applyFont="1" applyBorder="1" applyAlignment="1">
      <alignment horizontal="center" wrapText="1"/>
    </xf>
    <xf numFmtId="164" fontId="43" fillId="0" borderId="4" xfId="0" applyNumberFormat="1" applyFont="1" applyBorder="1" applyAlignment="1">
      <alignment horizontal="center" wrapText="1"/>
    </xf>
    <xf numFmtId="2" fontId="42" fillId="0" borderId="4" xfId="0" applyNumberFormat="1" applyFont="1" applyBorder="1" applyAlignment="1">
      <alignment horizontal="center" wrapText="1"/>
    </xf>
    <xf numFmtId="164" fontId="42" fillId="0" borderId="4" xfId="0" applyNumberFormat="1" applyFont="1" applyBorder="1" applyAlignment="1">
      <alignment horizontal="center" wrapText="1"/>
    </xf>
    <xf numFmtId="0" fontId="63" fillId="0" borderId="4" xfId="0" applyFont="1" applyBorder="1" applyAlignment="1">
      <alignment horizontal="center" vertical="center" wrapText="1"/>
    </xf>
    <xf numFmtId="0" fontId="31" fillId="0" borderId="4" xfId="0" applyFont="1" applyBorder="1" applyAlignment="1">
      <alignment horizontal="center" vertical="top" wrapText="1"/>
    </xf>
    <xf numFmtId="165" fontId="31" fillId="0" borderId="4" xfId="0" applyNumberFormat="1" applyFont="1" applyBorder="1" applyAlignment="1">
      <alignment horizontal="center"/>
    </xf>
    <xf numFmtId="0" fontId="31" fillId="0" borderId="4" xfId="0" applyFont="1" applyBorder="1" applyAlignment="1">
      <alignment horizontal="center"/>
    </xf>
    <xf numFmtId="2" fontId="11" fillId="0" borderId="4" xfId="0" applyNumberFormat="1" applyFont="1" applyBorder="1" applyAlignment="1">
      <alignment horizontal="center"/>
    </xf>
    <xf numFmtId="164" fontId="11" fillId="0" borderId="4" xfId="0" applyNumberFormat="1" applyFont="1" applyBorder="1" applyAlignment="1">
      <alignment horizontal="center"/>
    </xf>
    <xf numFmtId="0" fontId="31" fillId="0" borderId="4" xfId="0" applyFont="1" applyBorder="1" applyAlignment="1">
      <alignment horizontal="center" vertical="center" wrapText="1"/>
    </xf>
    <xf numFmtId="0" fontId="62" fillId="0" borderId="4" xfId="0" applyFont="1" applyBorder="1" applyAlignment="1">
      <alignment horizontal="center" vertical="center" wrapText="1"/>
    </xf>
    <xf numFmtId="0" fontId="62" fillId="0" borderId="4" xfId="0" applyFont="1" applyBorder="1" applyAlignment="1">
      <alignment horizontal="center" vertical="top" wrapText="1"/>
    </xf>
    <xf numFmtId="2" fontId="31" fillId="0" borderId="4" xfId="0" applyNumberFormat="1" applyFont="1" applyBorder="1" applyAlignment="1">
      <alignment horizontal="center"/>
    </xf>
    <xf numFmtId="0" fontId="11" fillId="0" borderId="4" xfId="0" applyFont="1" applyBorder="1" applyAlignment="1">
      <alignment horizontal="center"/>
    </xf>
    <xf numFmtId="0" fontId="43" fillId="0" borderId="4" xfId="0" applyFont="1" applyBorder="1" applyAlignment="1">
      <alignment horizontal="center" vertical="top" wrapText="1"/>
    </xf>
    <xf numFmtId="0" fontId="11" fillId="0" borderId="4" xfId="0" applyFont="1" applyBorder="1" applyAlignment="1">
      <alignment horizontal="center" vertical="top" wrapText="1"/>
    </xf>
    <xf numFmtId="2" fontId="31" fillId="0" borderId="4" xfId="0" applyNumberFormat="1" applyFont="1" applyBorder="1" applyAlignment="1">
      <alignment horizontal="center" vertical="top" wrapText="1"/>
    </xf>
    <xf numFmtId="164" fontId="3" fillId="0" borderId="4" xfId="0" applyNumberFormat="1" applyFont="1" applyBorder="1" applyAlignment="1">
      <alignment horizontal="center"/>
    </xf>
    <xf numFmtId="0" fontId="43" fillId="0" borderId="4" xfId="0" applyFont="1" applyBorder="1" applyAlignment="1">
      <alignment horizontal="left" vertical="top" wrapText="1"/>
    </xf>
    <xf numFmtId="2" fontId="11" fillId="0" borderId="4" xfId="0" applyNumberFormat="1" applyFont="1" applyBorder="1" applyAlignment="1">
      <alignment horizontal="center" vertical="top" wrapText="1"/>
    </xf>
    <xf numFmtId="0" fontId="64" fillId="0" borderId="4" xfId="0" applyFont="1" applyBorder="1" applyAlignment="1">
      <alignment horizontal="center"/>
    </xf>
    <xf numFmtId="164" fontId="11" fillId="0" borderId="4" xfId="0" applyNumberFormat="1" applyFont="1" applyBorder="1" applyAlignment="1">
      <alignment horizontal="center" vertical="center"/>
    </xf>
    <xf numFmtId="164" fontId="55" fillId="0" borderId="4" xfId="0" applyNumberFormat="1" applyFont="1" applyBorder="1" applyAlignment="1">
      <alignment horizontal="center" vertical="center"/>
    </xf>
    <xf numFmtId="164" fontId="55" fillId="0" borderId="4" xfId="0" applyNumberFormat="1" applyFont="1" applyBorder="1" applyAlignment="1">
      <alignment horizontal="center" vertical="center" wrapText="1"/>
    </xf>
    <xf numFmtId="164" fontId="33" fillId="0" borderId="4" xfId="0" applyNumberFormat="1" applyFont="1" applyBorder="1" applyAlignment="1">
      <alignment horizontal="center" vertical="center" wrapText="1"/>
    </xf>
    <xf numFmtId="0" fontId="40" fillId="0" borderId="0" xfId="0" applyFont="1" applyAlignment="1">
      <alignment horizontal="center"/>
    </xf>
    <xf numFmtId="0" fontId="0" fillId="0" borderId="0" xfId="0"/>
    <xf numFmtId="164" fontId="11" fillId="0" borderId="4" xfId="0" applyNumberFormat="1" applyFont="1" applyBorder="1" applyAlignment="1">
      <alignment horizontal="center" vertical="center" wrapText="1"/>
    </xf>
    <xf numFmtId="164" fontId="3" fillId="0" borderId="4" xfId="0" applyNumberFormat="1" applyFont="1" applyBorder="1" applyAlignment="1">
      <alignment horizontal="center" vertical="center"/>
    </xf>
    <xf numFmtId="0" fontId="42" fillId="0" borderId="4" xfId="0" applyFont="1" applyBorder="1" applyAlignment="1">
      <alignment horizontal="left" vertical="top" wrapText="1"/>
    </xf>
    <xf numFmtId="164" fontId="3" fillId="0" borderId="0" xfId="0" applyNumberFormat="1" applyFont="1" applyAlignment="1">
      <alignment horizontal="center" vertical="center"/>
    </xf>
    <xf numFmtId="0" fontId="17" fillId="0" borderId="4" xfId="2" applyFont="1" applyBorder="1" applyAlignment="1">
      <alignment horizontal="center" vertical="center" wrapText="1"/>
    </xf>
    <xf numFmtId="0" fontId="19" fillId="0" borderId="4" xfId="2" applyFont="1" applyBorder="1" applyAlignment="1">
      <alignment horizontal="justify" vertical="top" wrapText="1"/>
    </xf>
    <xf numFmtId="2" fontId="17" fillId="0" borderId="4" xfId="2" applyNumberFormat="1" applyFont="1" applyBorder="1" applyAlignment="1">
      <alignment horizontal="center" vertical="center" wrapText="1"/>
    </xf>
    <xf numFmtId="2" fontId="19" fillId="0" borderId="4" xfId="2" applyNumberFormat="1" applyFont="1" applyBorder="1" applyAlignment="1">
      <alignment horizontal="center" vertical="center"/>
    </xf>
    <xf numFmtId="2" fontId="17" fillId="0" borderId="4" xfId="2" applyNumberFormat="1" applyFont="1" applyBorder="1" applyAlignment="1">
      <alignment horizontal="center" vertical="center"/>
    </xf>
    <xf numFmtId="164" fontId="17" fillId="0" borderId="4" xfId="2" applyNumberFormat="1" applyFont="1" applyBorder="1" applyAlignment="1">
      <alignment horizontal="center" vertical="center"/>
    </xf>
    <xf numFmtId="0" fontId="48" fillId="0" borderId="0" xfId="0" applyFont="1"/>
    <xf numFmtId="0" fontId="66" fillId="0" borderId="4" xfId="0" applyFont="1" applyBorder="1" applyAlignment="1">
      <alignment horizontal="center" vertical="center" wrapText="1"/>
    </xf>
    <xf numFmtId="0" fontId="48" fillId="0" borderId="4" xfId="0" applyFont="1" applyBorder="1" applyAlignment="1">
      <alignment horizontal="justify" vertical="top" wrapText="1"/>
    </xf>
    <xf numFmtId="2" fontId="48" fillId="0" borderId="4" xfId="0" applyNumberFormat="1" applyFont="1" applyBorder="1" applyAlignment="1">
      <alignment horizontal="center" vertical="center"/>
    </xf>
    <xf numFmtId="0" fontId="1" fillId="0" borderId="0" xfId="0" applyFont="1"/>
    <xf numFmtId="0" fontId="67" fillId="2" borderId="4" xfId="0" applyFont="1" applyFill="1" applyBorder="1" applyAlignment="1">
      <alignment horizontal="justify" vertical="top" wrapText="1"/>
    </xf>
    <xf numFmtId="0" fontId="20" fillId="0" borderId="4" xfId="2" applyFont="1" applyBorder="1" applyAlignment="1" applyProtection="1">
      <alignment horizontal="center" vertical="center"/>
      <protection locked="0"/>
    </xf>
    <xf numFmtId="0" fontId="20" fillId="0" borderId="4" xfId="2" applyFont="1" applyBorder="1" applyAlignment="1" applyProtection="1">
      <alignment horizontal="justify" vertical="top"/>
      <protection locked="0"/>
    </xf>
    <xf numFmtId="165" fontId="48" fillId="0" borderId="4" xfId="0" applyNumberFormat="1" applyFont="1" applyBorder="1" applyAlignment="1">
      <alignment horizontal="center" vertical="center"/>
    </xf>
    <xf numFmtId="2" fontId="48" fillId="0" borderId="4" xfId="0" applyNumberFormat="1" applyFont="1" applyBorder="1" applyAlignment="1">
      <alignment horizontal="center" vertical="center" wrapText="1"/>
    </xf>
    <xf numFmtId="0" fontId="48" fillId="0" borderId="4" xfId="0" applyFont="1" applyBorder="1" applyAlignment="1">
      <alignment horizontal="center" vertical="center" wrapText="1"/>
    </xf>
    <xf numFmtId="2" fontId="66" fillId="0" borderId="4" xfId="0" applyNumberFormat="1" applyFont="1" applyBorder="1" applyAlignment="1">
      <alignment horizontal="center" vertical="center" wrapText="1"/>
    </xf>
    <xf numFmtId="0" fontId="66" fillId="0" borderId="4" xfId="0" applyFont="1" applyBorder="1" applyAlignment="1">
      <alignment horizontal="center" vertical="top"/>
    </xf>
    <xf numFmtId="0" fontId="48" fillId="0" borderId="4" xfId="0" applyFont="1" applyBorder="1" applyAlignment="1">
      <alignment horizontal="justify" vertical="top"/>
    </xf>
    <xf numFmtId="2" fontId="48" fillId="0" borderId="4" xfId="0" applyNumberFormat="1" applyFont="1" applyBorder="1" applyAlignment="1">
      <alignment horizontal="justify" vertical="top"/>
    </xf>
    <xf numFmtId="0" fontId="66" fillId="0" borderId="4" xfId="0" applyFont="1" applyBorder="1" applyAlignment="1">
      <alignment horizontal="center"/>
    </xf>
    <xf numFmtId="0" fontId="66" fillId="0" borderId="4" xfId="0" applyFont="1" applyBorder="1" applyAlignment="1">
      <alignment horizontal="left" vertical="center" wrapText="1"/>
    </xf>
    <xf numFmtId="0" fontId="48" fillId="0" borderId="0" xfId="0" applyFont="1" applyAlignment="1">
      <alignment horizontal="center" vertical="center"/>
    </xf>
    <xf numFmtId="0" fontId="48" fillId="0" borderId="4" xfId="0" applyFont="1" applyBorder="1" applyAlignment="1">
      <alignment horizontal="center" vertical="center"/>
    </xf>
    <xf numFmtId="2" fontId="66" fillId="0" borderId="4" xfId="0" applyNumberFormat="1" applyFont="1" applyBorder="1" applyAlignment="1">
      <alignment horizontal="center" vertical="center"/>
    </xf>
    <xf numFmtId="0" fontId="66" fillId="0" borderId="4" xfId="0" applyFont="1" applyBorder="1"/>
    <xf numFmtId="0" fontId="66" fillId="0" borderId="4" xfId="0" applyFont="1" applyBorder="1" applyAlignment="1">
      <alignment vertical="top"/>
    </xf>
    <xf numFmtId="164" fontId="66" fillId="0" borderId="4" xfId="0" applyNumberFormat="1" applyFont="1" applyBorder="1" applyAlignment="1">
      <alignment horizontal="center" vertical="center"/>
    </xf>
    <xf numFmtId="2" fontId="1" fillId="0" borderId="0" xfId="0" applyNumberFormat="1" applyFont="1"/>
    <xf numFmtId="0" fontId="10" fillId="0" borderId="4" xfId="0" applyFont="1" applyBorder="1" applyAlignment="1">
      <alignment horizontal="center" vertical="center" wrapText="1"/>
    </xf>
    <xf numFmtId="0" fontId="0" fillId="0" borderId="0" xfId="0"/>
    <xf numFmtId="0" fontId="0" fillId="0" borderId="0" xfId="0" applyAlignment="1">
      <alignment horizontal="center"/>
    </xf>
    <xf numFmtId="0" fontId="56" fillId="0" borderId="4" xfId="0" applyFont="1" applyBorder="1" applyAlignment="1">
      <alignment horizontal="right" wrapText="1"/>
    </xf>
    <xf numFmtId="0" fontId="31" fillId="0" borderId="0" xfId="0" applyFont="1" applyAlignment="1"/>
    <xf numFmtId="0" fontId="43" fillId="0" borderId="4" xfId="0" applyFont="1" applyBorder="1" applyAlignment="1">
      <alignment horizontal="center" vertical="center" wrapText="1"/>
    </xf>
    <xf numFmtId="0" fontId="69" fillId="0" borderId="4" xfId="0" applyFont="1" applyBorder="1" applyAlignment="1">
      <alignment vertical="top" wrapText="1"/>
    </xf>
    <xf numFmtId="0" fontId="42" fillId="0" borderId="4" xfId="0" applyFont="1" applyBorder="1" applyAlignment="1">
      <alignment vertical="center" wrapText="1"/>
    </xf>
    <xf numFmtId="2" fontId="42" fillId="0" borderId="4" xfId="0" applyNumberFormat="1" applyFont="1" applyBorder="1" applyAlignment="1">
      <alignment vertical="center" wrapText="1"/>
    </xf>
    <xf numFmtId="0" fontId="55" fillId="0" borderId="4" xfId="0" applyFont="1" applyBorder="1" applyAlignment="1">
      <alignment vertical="top"/>
    </xf>
    <xf numFmtId="0" fontId="43" fillId="0" borderId="4" xfId="0" applyFont="1" applyFill="1" applyBorder="1" applyAlignment="1">
      <alignment horizontal="center" vertical="top" wrapText="1"/>
    </xf>
    <xf numFmtId="0" fontId="70" fillId="0" borderId="4" xfId="0" applyFont="1" applyBorder="1" applyAlignment="1">
      <alignment vertical="center"/>
    </xf>
    <xf numFmtId="2" fontId="42" fillId="0" borderId="4" xfId="0" applyNumberFormat="1" applyFont="1" applyBorder="1" applyAlignment="1">
      <alignment horizontal="center" vertical="top"/>
    </xf>
    <xf numFmtId="0" fontId="56" fillId="0" borderId="4" xfId="0" applyFont="1" applyBorder="1" applyAlignment="1">
      <alignment horizontal="center"/>
    </xf>
    <xf numFmtId="2" fontId="3" fillId="0" borderId="1" xfId="0" applyNumberFormat="1" applyFont="1" applyBorder="1" applyAlignment="1">
      <alignment horizontal="center"/>
    </xf>
    <xf numFmtId="0" fontId="0" fillId="0" borderId="4" xfId="0" applyBorder="1"/>
    <xf numFmtId="2" fontId="0" fillId="0" borderId="4" xfId="0" applyNumberFormat="1" applyBorder="1"/>
    <xf numFmtId="0" fontId="35" fillId="0" borderId="4" xfId="0" applyFont="1" applyBorder="1" applyAlignment="1">
      <alignment horizontal="right" vertical="center"/>
    </xf>
    <xf numFmtId="0" fontId="63" fillId="0" borderId="0" xfId="0" applyFont="1"/>
    <xf numFmtId="2" fontId="42" fillId="0" borderId="4" xfId="0" applyNumberFormat="1" applyFont="1" applyBorder="1" applyAlignment="1">
      <alignment horizontal="center" vertical="center" wrapText="1"/>
    </xf>
    <xf numFmtId="2" fontId="35" fillId="0" borderId="4" xfId="0" applyNumberFormat="1" applyFont="1" applyBorder="1" applyAlignment="1">
      <alignment horizontal="center" vertical="center"/>
    </xf>
    <xf numFmtId="0" fontId="62" fillId="0" borderId="4" xfId="0" applyFont="1" applyBorder="1" applyAlignment="1">
      <alignment vertical="top" wrapText="1"/>
    </xf>
    <xf numFmtId="0" fontId="77" fillId="0" borderId="4" xfId="0" applyFont="1" applyBorder="1" applyAlignment="1">
      <alignment horizontal="left" vertical="top" wrapText="1"/>
    </xf>
    <xf numFmtId="0" fontId="77" fillId="0" borderId="4" xfId="0" applyFont="1" applyBorder="1" applyAlignment="1">
      <alignment horizontal="center" vertical="center" wrapText="1"/>
    </xf>
    <xf numFmtId="2" fontId="78" fillId="0" borderId="4" xfId="0" applyNumberFormat="1" applyFont="1" applyBorder="1" applyAlignment="1">
      <alignment horizontal="center" vertical="center"/>
    </xf>
    <xf numFmtId="0" fontId="78" fillId="0" borderId="4" xfId="0" applyFont="1" applyBorder="1" applyAlignment="1">
      <alignment horizontal="center" vertical="center"/>
    </xf>
    <xf numFmtId="0" fontId="43" fillId="0" borderId="7" xfId="0" applyFont="1" applyBorder="1" applyAlignment="1">
      <alignment vertical="center" wrapText="1"/>
    </xf>
    <xf numFmtId="0" fontId="43" fillId="0" borderId="7" xfId="0" applyFont="1" applyBorder="1" applyAlignment="1">
      <alignment vertical="top" wrapText="1"/>
    </xf>
    <xf numFmtId="2" fontId="42" fillId="0" borderId="7" xfId="0" applyNumberFormat="1" applyFont="1" applyBorder="1" applyAlignment="1">
      <alignment horizontal="center" vertical="center" wrapText="1"/>
    </xf>
    <xf numFmtId="0" fontId="42" fillId="0" borderId="4" xfId="0" applyFont="1" applyBorder="1" applyAlignment="1">
      <alignment horizontal="center" vertical="center"/>
    </xf>
    <xf numFmtId="167" fontId="42" fillId="0" borderId="4" xfId="0" applyNumberFormat="1" applyFont="1" applyBorder="1" applyAlignment="1">
      <alignment horizontal="center" vertical="center" wrapText="1"/>
    </xf>
    <xf numFmtId="2" fontId="80" fillId="0" borderId="4" xfId="0" applyNumberFormat="1" applyFont="1" applyBorder="1" applyAlignment="1"/>
    <xf numFmtId="0" fontId="9" fillId="0" borderId="4" xfId="0" applyFont="1" applyBorder="1" applyAlignment="1">
      <alignment horizontal="center" wrapText="1"/>
    </xf>
    <xf numFmtId="2" fontId="8" fillId="0" borderId="4" xfId="0" applyNumberFormat="1" applyFont="1" applyBorder="1" applyAlignment="1">
      <alignment horizontal="center" wrapText="1"/>
    </xf>
    <xf numFmtId="2" fontId="9" fillId="0" borderId="4" xfId="0" applyNumberFormat="1" applyFont="1" applyBorder="1" applyAlignment="1">
      <alignment horizontal="center" wrapText="1"/>
    </xf>
    <xf numFmtId="0" fontId="55" fillId="0" borderId="4" xfId="0" applyFont="1" applyBorder="1" applyAlignment="1">
      <alignment horizontal="left" vertical="top" wrapText="1"/>
    </xf>
    <xf numFmtId="2" fontId="55" fillId="0" borderId="4" xfId="0" applyNumberFormat="1" applyFont="1" applyBorder="1" applyAlignment="1">
      <alignment horizontal="center" wrapText="1"/>
    </xf>
    <xf numFmtId="2" fontId="81" fillId="0" borderId="4" xfId="0" applyNumberFormat="1" applyFont="1" applyBorder="1" applyAlignment="1">
      <alignment horizontal="center"/>
    </xf>
    <xf numFmtId="0" fontId="55" fillId="0" borderId="4" xfId="0" applyFont="1" applyBorder="1" applyAlignment="1">
      <alignment horizontal="center" wrapText="1"/>
    </xf>
    <xf numFmtId="2" fontId="57" fillId="0" borderId="4" xfId="0" applyNumberFormat="1" applyFont="1" applyBorder="1" applyAlignment="1">
      <alignment horizontal="center"/>
    </xf>
    <xf numFmtId="0" fontId="56" fillId="0" borderId="4" xfId="0" applyFont="1" applyBorder="1" applyAlignment="1">
      <alignment horizontal="center" wrapText="1"/>
    </xf>
    <xf numFmtId="165" fontId="56" fillId="0" borderId="4" xfId="0" applyNumberFormat="1" applyFont="1" applyBorder="1" applyAlignment="1">
      <alignment horizontal="center" wrapText="1"/>
    </xf>
    <xf numFmtId="2" fontId="56" fillId="0" borderId="4" xfId="0" applyNumberFormat="1" applyFont="1" applyBorder="1" applyAlignment="1">
      <alignment horizontal="right" wrapText="1"/>
    </xf>
    <xf numFmtId="0" fontId="55" fillId="0" borderId="4" xfId="0" applyFont="1" applyBorder="1" applyAlignment="1">
      <alignment horizontal="center" vertical="center"/>
    </xf>
    <xf numFmtId="0" fontId="55" fillId="0" borderId="1" xfId="0" applyFont="1" applyBorder="1" applyAlignment="1">
      <alignment horizontal="center" vertical="center"/>
    </xf>
    <xf numFmtId="0" fontId="55" fillId="0" borderId="2" xfId="0" applyFont="1" applyBorder="1" applyAlignment="1">
      <alignment horizontal="center" vertical="center"/>
    </xf>
    <xf numFmtId="0" fontId="55" fillId="0" borderId="3" xfId="0" applyFont="1" applyBorder="1" applyAlignment="1">
      <alignment horizontal="center" vertical="center"/>
    </xf>
    <xf numFmtId="0" fontId="42" fillId="0" borderId="1"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3" fillId="0" borderId="4" xfId="0" applyFont="1" applyBorder="1" applyAlignment="1">
      <alignment horizontal="right" vertical="center" wrapText="1"/>
    </xf>
    <xf numFmtId="0" fontId="27" fillId="0" borderId="4" xfId="0" applyFont="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0" fillId="0" borderId="0" xfId="0"/>
    <xf numFmtId="0" fontId="0" fillId="0" borderId="0" xfId="0" applyAlignment="1">
      <alignment horizontal="center"/>
    </xf>
    <xf numFmtId="0" fontId="53" fillId="0" borderId="5" xfId="0" applyFont="1" applyBorder="1" applyAlignment="1">
      <alignment horizontal="center" vertical="center" wrapText="1"/>
    </xf>
    <xf numFmtId="0" fontId="56" fillId="0" borderId="4" xfId="0" applyFont="1" applyBorder="1" applyAlignment="1">
      <alignment horizontal="right" wrapText="1"/>
    </xf>
    <xf numFmtId="0" fontId="56" fillId="0" borderId="1" xfId="0" applyFont="1" applyBorder="1" applyAlignment="1">
      <alignment horizontal="right" wrapText="1"/>
    </xf>
    <xf numFmtId="0" fontId="56" fillId="0" borderId="3" xfId="0" applyFont="1" applyBorder="1" applyAlignment="1">
      <alignment horizontal="right" wrapText="1"/>
    </xf>
    <xf numFmtId="0" fontId="36" fillId="0" borderId="4"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0" borderId="4" xfId="0" applyFont="1" applyBorder="1" applyAlignment="1">
      <alignment horizontal="center" vertical="center"/>
    </xf>
    <xf numFmtId="0" fontId="42" fillId="0" borderId="1" xfId="0" applyFont="1" applyBorder="1" applyAlignment="1">
      <alignment horizontal="right" vertical="center"/>
    </xf>
    <xf numFmtId="0" fontId="42" fillId="0" borderId="2" xfId="0" applyFont="1" applyBorder="1" applyAlignment="1">
      <alignment horizontal="right" vertical="center"/>
    </xf>
    <xf numFmtId="0" fontId="42" fillId="0" borderId="3" xfId="0" applyFont="1" applyBorder="1" applyAlignment="1">
      <alignment horizontal="right"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61" fillId="0" borderId="1" xfId="0" applyFont="1" applyBorder="1" applyAlignment="1">
      <alignment horizontal="center" vertical="center"/>
    </xf>
    <xf numFmtId="0" fontId="61" fillId="0" borderId="2" xfId="0" applyFont="1" applyBorder="1" applyAlignment="1">
      <alignment horizontal="center" vertical="center"/>
    </xf>
    <xf numFmtId="0" fontId="61" fillId="0" borderId="3"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43" fillId="0" borderId="1" xfId="0" applyFont="1" applyBorder="1" applyAlignment="1">
      <alignment horizontal="right" vertical="center" wrapText="1"/>
    </xf>
    <xf numFmtId="0" fontId="43" fillId="0" borderId="2" xfId="0" applyFont="1" applyBorder="1" applyAlignment="1">
      <alignment horizontal="right" vertical="center" wrapText="1"/>
    </xf>
    <xf numFmtId="0" fontId="43" fillId="0" borderId="3" xfId="0" applyFont="1" applyBorder="1" applyAlignment="1">
      <alignment horizontal="right" vertical="center" wrapText="1"/>
    </xf>
    <xf numFmtId="0" fontId="73" fillId="0" borderId="1" xfId="0" applyFont="1" applyBorder="1" applyAlignment="1">
      <alignment horizontal="left" vertical="center" wrapText="1"/>
    </xf>
    <xf numFmtId="0" fontId="73" fillId="0" borderId="2" xfId="0" applyFont="1" applyBorder="1" applyAlignment="1">
      <alignment horizontal="left" vertical="center" wrapText="1"/>
    </xf>
    <xf numFmtId="0" fontId="73" fillId="0" borderId="3" xfId="0" applyFont="1" applyBorder="1" applyAlignment="1">
      <alignment horizontal="left" vertical="center" wrapText="1"/>
    </xf>
    <xf numFmtId="1" fontId="0" fillId="0" borderId="1" xfId="0" applyNumberFormat="1" applyBorder="1" applyAlignment="1">
      <alignment horizontal="center" vertical="center"/>
    </xf>
    <xf numFmtId="1" fontId="0" fillId="0" borderId="2" xfId="0" applyNumberFormat="1" applyBorder="1" applyAlignment="1">
      <alignment horizontal="center" vertical="center"/>
    </xf>
    <xf numFmtId="1" fontId="0" fillId="0" borderId="3" xfId="0" applyNumberFormat="1" applyBorder="1" applyAlignment="1">
      <alignment horizontal="center" vertical="center"/>
    </xf>
    <xf numFmtId="0" fontId="39" fillId="0" borderId="0" xfId="0" applyFont="1" applyAlignment="1">
      <alignment horizontal="center" vertical="center" wrapText="1"/>
    </xf>
    <xf numFmtId="0" fontId="41" fillId="0" borderId="5" xfId="0" applyFont="1" applyBorder="1" applyAlignment="1">
      <alignment horizontal="center" vertical="top" wrapText="1"/>
    </xf>
    <xf numFmtId="0" fontId="35" fillId="0" borderId="5" xfId="0" applyFont="1" applyBorder="1" applyAlignment="1">
      <alignment horizontal="center" vertical="top" wrapText="1"/>
    </xf>
    <xf numFmtId="0" fontId="42" fillId="0" borderId="2" xfId="0" applyFont="1" applyBorder="1" applyAlignment="1">
      <alignment horizontal="left" vertical="top" wrapText="1"/>
    </xf>
    <xf numFmtId="2" fontId="0" fillId="0" borderId="1" xfId="0" applyNumberFormat="1" applyBorder="1" applyAlignment="1">
      <alignment horizontal="center" vertical="center" wrapText="1"/>
    </xf>
    <xf numFmtId="2" fontId="0" fillId="0" borderId="2" xfId="0" applyNumberFormat="1" applyBorder="1" applyAlignment="1">
      <alignment horizontal="center" vertical="center" wrapText="1"/>
    </xf>
    <xf numFmtId="2" fontId="0" fillId="0" borderId="3" xfId="0" applyNumberFormat="1" applyBorder="1" applyAlignment="1">
      <alignment horizontal="center" vertical="center" wrapText="1"/>
    </xf>
    <xf numFmtId="0" fontId="11" fillId="0" borderId="2" xfId="0" applyFont="1" applyBorder="1" applyAlignment="1">
      <alignment horizontal="left" vertical="top"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6" fillId="0" borderId="1" xfId="0" applyFont="1" applyBorder="1" applyAlignment="1">
      <alignment horizontal="left" vertical="top"/>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17" fillId="0" borderId="1" xfId="0" applyFont="1" applyBorder="1" applyAlignment="1">
      <alignment horizontal="right"/>
    </xf>
    <xf numFmtId="0" fontId="17" fillId="0" borderId="2" xfId="0" applyFont="1" applyBorder="1" applyAlignment="1">
      <alignment horizontal="right"/>
    </xf>
    <xf numFmtId="0" fontId="17" fillId="0" borderId="3" xfId="0" applyFont="1" applyBorder="1" applyAlignment="1">
      <alignment horizontal="right"/>
    </xf>
    <xf numFmtId="0" fontId="15" fillId="0" borderId="5" xfId="0" applyFont="1" applyBorder="1" applyAlignment="1">
      <alignment horizontal="center" vertical="top" wrapText="1"/>
    </xf>
    <xf numFmtId="0" fontId="16" fillId="0" borderId="4" xfId="0" applyFont="1" applyBorder="1" applyAlignment="1">
      <alignment horizontal="center" vertical="top" wrapText="1"/>
    </xf>
    <xf numFmtId="0" fontId="5" fillId="0" borderId="4" xfId="0" applyFont="1" applyBorder="1" applyAlignment="1">
      <alignment horizontal="left" vertical="center" wrapText="1"/>
    </xf>
    <xf numFmtId="0" fontId="17" fillId="0" borderId="1" xfId="0" applyFont="1" applyBorder="1" applyAlignment="1">
      <alignment horizontal="right" wrapText="1"/>
    </xf>
    <xf numFmtId="0" fontId="17" fillId="0" borderId="2" xfId="0" applyFont="1" applyBorder="1" applyAlignment="1">
      <alignment horizontal="right" wrapText="1"/>
    </xf>
    <xf numFmtId="0" fontId="17" fillId="0" borderId="3" xfId="0" applyFont="1" applyBorder="1" applyAlignment="1">
      <alignment horizontal="right"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7" fillId="0" borderId="4" xfId="0" applyFont="1" applyBorder="1" applyAlignment="1">
      <alignment horizontal="right" vertical="center"/>
    </xf>
    <xf numFmtId="0" fontId="17" fillId="0" borderId="4" xfId="0" applyFont="1" applyBorder="1" applyAlignment="1">
      <alignment horizontal="right"/>
    </xf>
    <xf numFmtId="0" fontId="26" fillId="0" borderId="6" xfId="0" applyFont="1" applyBorder="1" applyAlignment="1">
      <alignment horizontal="center" vertical="center"/>
    </xf>
    <xf numFmtId="0" fontId="26" fillId="0" borderId="0" xfId="0" applyFont="1" applyAlignment="1">
      <alignment horizontal="center" vertical="center"/>
    </xf>
    <xf numFmtId="0" fontId="27" fillId="0" borderId="4" xfId="0" applyFont="1" applyBorder="1" applyAlignment="1">
      <alignment horizontal="center" vertical="center" wrapText="1"/>
    </xf>
    <xf numFmtId="0" fontId="74" fillId="0" borderId="1" xfId="0" applyFont="1" applyBorder="1" applyAlignment="1">
      <alignment horizontal="left" vertical="top" wrapText="1"/>
    </xf>
    <xf numFmtId="0" fontId="74" fillId="0" borderId="2" xfId="0" applyFont="1" applyBorder="1" applyAlignment="1">
      <alignment horizontal="left" vertical="top" wrapText="1"/>
    </xf>
    <xf numFmtId="0" fontId="74" fillId="0" borderId="3" xfId="0" applyFont="1" applyBorder="1" applyAlignment="1">
      <alignment horizontal="left" vertical="top" wrapText="1"/>
    </xf>
    <xf numFmtId="0" fontId="17" fillId="0" borderId="4" xfId="0" applyFont="1" applyBorder="1" applyAlignment="1">
      <alignment horizontal="right" wrapText="1"/>
    </xf>
    <xf numFmtId="0" fontId="9" fillId="0" borderId="2" xfId="0" applyFont="1" applyBorder="1" applyAlignment="1">
      <alignment horizontal="left" vertical="top"/>
    </xf>
    <xf numFmtId="0" fontId="9" fillId="0" borderId="3" xfId="0" applyFont="1" applyBorder="1" applyAlignment="1">
      <alignment horizontal="left" vertical="top"/>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43" fillId="0" borderId="1" xfId="0" applyFont="1" applyBorder="1" applyAlignment="1">
      <alignment horizontal="left" vertical="top" wrapText="1"/>
    </xf>
    <xf numFmtId="0" fontId="43" fillId="0" borderId="2" xfId="0" applyFont="1" applyBorder="1" applyAlignment="1">
      <alignment horizontal="left" vertical="top" wrapText="1"/>
    </xf>
    <xf numFmtId="0" fontId="43" fillId="0" borderId="3" xfId="0" applyFont="1" applyBorder="1" applyAlignment="1">
      <alignment horizontal="left" vertical="top" wrapText="1"/>
    </xf>
    <xf numFmtId="0" fontId="9" fillId="0" borderId="1" xfId="0" applyFont="1" applyBorder="1" applyAlignment="1">
      <alignment horizontal="left" vertical="top"/>
    </xf>
    <xf numFmtId="0" fontId="35" fillId="0" borderId="1" xfId="0" applyFont="1" applyBorder="1" applyAlignment="1">
      <alignment horizontal="right"/>
    </xf>
    <xf numFmtId="0" fontId="35" fillId="0" borderId="2" xfId="0" applyFont="1" applyBorder="1" applyAlignment="1">
      <alignment horizontal="right"/>
    </xf>
    <xf numFmtId="0" fontId="35" fillId="0" borderId="3" xfId="0" applyFont="1" applyBorder="1" applyAlignment="1">
      <alignment horizontal="right"/>
    </xf>
    <xf numFmtId="0" fontId="68" fillId="0" borderId="0" xfId="0" applyFont="1" applyAlignment="1">
      <alignment horizontal="center" vertical="center"/>
    </xf>
    <xf numFmtId="0" fontId="68" fillId="6" borderId="0" xfId="0" applyFont="1" applyFill="1" applyAlignment="1">
      <alignment horizontal="center" vertical="center"/>
    </xf>
    <xf numFmtId="0" fontId="31" fillId="0" borderId="5" xfId="0" applyFont="1" applyBorder="1" applyAlignment="1">
      <alignment vertical="top" wrapText="1"/>
    </xf>
    <xf numFmtId="0" fontId="43" fillId="0" borderId="1" xfId="0" applyFont="1" applyBorder="1" applyAlignment="1">
      <alignment horizontal="right" wrapText="1"/>
    </xf>
    <xf numFmtId="0" fontId="43" fillId="0" borderId="2" xfId="0" applyFont="1" applyBorder="1" applyAlignment="1">
      <alignment horizontal="right" wrapText="1"/>
    </xf>
    <xf numFmtId="0" fontId="43" fillId="0" borderId="3" xfId="0" applyFont="1" applyBorder="1" applyAlignment="1">
      <alignment horizontal="right" wrapText="1"/>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14" fillId="0" borderId="2" xfId="0" applyFont="1" applyBorder="1" applyAlignment="1">
      <alignment horizontal="left" vertical="top"/>
    </xf>
    <xf numFmtId="0" fontId="14" fillId="0" borderId="3" xfId="0" applyFont="1" applyBorder="1" applyAlignment="1">
      <alignment horizontal="left" vertical="top"/>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6" fillId="0" borderId="4" xfId="0" applyFont="1" applyBorder="1" applyAlignment="1">
      <alignment horizontal="left" vertical="top"/>
    </xf>
    <xf numFmtId="0" fontId="14" fillId="0" borderId="1" xfId="0" applyFont="1" applyBorder="1" applyAlignment="1">
      <alignment horizontal="left" vertical="top"/>
    </xf>
    <xf numFmtId="0" fontId="14" fillId="0" borderId="2" xfId="0" applyFont="1" applyBorder="1" applyAlignment="1">
      <alignment horizontal="right"/>
    </xf>
    <xf numFmtId="0" fontId="14" fillId="0" borderId="3" xfId="0" applyFont="1" applyBorder="1" applyAlignment="1">
      <alignment horizontal="right"/>
    </xf>
    <xf numFmtId="0" fontId="6" fillId="0" borderId="4" xfId="0" applyFont="1" applyBorder="1" applyAlignment="1">
      <alignment horizontal="right"/>
    </xf>
    <xf numFmtId="0" fontId="14" fillId="0" borderId="1" xfId="0" applyFont="1" applyBorder="1" applyAlignment="1">
      <alignment horizontal="right"/>
    </xf>
    <xf numFmtId="0" fontId="43" fillId="0" borderId="1" xfId="0" applyFont="1" applyBorder="1" applyAlignment="1">
      <alignment horizontal="right" vertical="top"/>
    </xf>
    <xf numFmtId="0" fontId="43" fillId="0" borderId="2" xfId="0" applyFont="1" applyBorder="1" applyAlignment="1">
      <alignment horizontal="right" vertical="top"/>
    </xf>
    <xf numFmtId="0" fontId="43" fillId="0" borderId="3" xfId="0" applyFont="1" applyBorder="1" applyAlignment="1">
      <alignment horizontal="right" vertical="top"/>
    </xf>
    <xf numFmtId="0" fontId="42" fillId="0" borderId="1" xfId="0" applyFont="1" applyBorder="1" applyAlignment="1">
      <alignment horizontal="right" vertical="top"/>
    </xf>
    <xf numFmtId="0" fontId="42" fillId="0" borderId="2" xfId="0" applyFont="1" applyBorder="1" applyAlignment="1">
      <alignment horizontal="right" vertical="top"/>
    </xf>
    <xf numFmtId="0" fontId="42" fillId="0" borderId="3" xfId="0" applyFont="1" applyBorder="1" applyAlignment="1">
      <alignment horizontal="right" vertical="top"/>
    </xf>
    <xf numFmtId="0" fontId="72" fillId="0" borderId="0" xfId="0" applyFont="1"/>
    <xf numFmtId="0" fontId="68" fillId="0" borderId="0" xfId="0" applyFont="1" applyAlignment="1">
      <alignment horizontal="center"/>
    </xf>
    <xf numFmtId="0" fontId="68" fillId="6" borderId="5" xfId="0" applyFont="1" applyFill="1" applyBorder="1" applyAlignment="1">
      <alignment horizontal="center"/>
    </xf>
    <xf numFmtId="0" fontId="31"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0" fillId="0" borderId="4" xfId="0" applyBorder="1" applyAlignment="1">
      <alignment horizontal="center"/>
    </xf>
    <xf numFmtId="0" fontId="45" fillId="0" borderId="0" xfId="0" applyFont="1" applyAlignment="1">
      <alignment horizontal="center"/>
    </xf>
    <xf numFmtId="0" fontId="46" fillId="0" borderId="0" xfId="0" applyFont="1" applyAlignment="1">
      <alignment horizontal="left" vertical="center" wrapText="1"/>
    </xf>
    <xf numFmtId="2" fontId="3" fillId="0" borderId="2" xfId="0" applyNumberFormat="1" applyFont="1" applyBorder="1" applyAlignment="1">
      <alignment horizontal="right" wrapText="1"/>
    </xf>
    <xf numFmtId="2" fontId="3" fillId="0" borderId="3" xfId="0" applyNumberFormat="1" applyFont="1" applyBorder="1" applyAlignment="1">
      <alignment horizontal="right" wrapText="1"/>
    </xf>
    <xf numFmtId="0" fontId="48" fillId="0" borderId="4" xfId="0" applyFont="1" applyBorder="1" applyAlignment="1">
      <alignment horizontal="center"/>
    </xf>
    <xf numFmtId="0" fontId="9" fillId="0" borderId="2" xfId="0" applyFont="1" applyBorder="1" applyAlignment="1">
      <alignment horizontal="right" vertical="top"/>
    </xf>
    <xf numFmtId="0" fontId="9" fillId="0" borderId="3" xfId="0" applyFont="1" applyBorder="1" applyAlignment="1">
      <alignment horizontal="right" vertical="top"/>
    </xf>
    <xf numFmtId="0" fontId="11" fillId="0" borderId="1" xfId="0" applyFont="1" applyBorder="1" applyAlignment="1">
      <alignment horizontal="left" vertical="top" wrapText="1"/>
    </xf>
    <xf numFmtId="0" fontId="11" fillId="0" borderId="3" xfId="0" applyFont="1" applyBorder="1" applyAlignment="1">
      <alignment horizontal="left" vertical="top" wrapText="1"/>
    </xf>
    <xf numFmtId="0" fontId="9" fillId="0" borderId="1" xfId="0" applyFont="1" applyBorder="1" applyAlignment="1">
      <alignment horizontal="right" vertical="top"/>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3" fillId="0" borderId="4" xfId="0" applyFont="1" applyBorder="1" applyAlignment="1">
      <alignment horizontal="right" vertical="center"/>
    </xf>
    <xf numFmtId="0" fontId="8" fillId="0" borderId="2" xfId="0" applyFont="1" applyBorder="1" applyAlignment="1">
      <alignment horizontal="right"/>
    </xf>
    <xf numFmtId="0" fontId="8" fillId="0" borderId="3" xfId="0" applyFont="1" applyBorder="1" applyAlignment="1">
      <alignment horizontal="right"/>
    </xf>
    <xf numFmtId="0" fontId="75" fillId="0" borderId="1" xfId="0" applyFont="1" applyBorder="1" applyAlignment="1">
      <alignment horizontal="center" vertical="top" wrapText="1"/>
    </xf>
    <xf numFmtId="0" fontId="76" fillId="0" borderId="2" xfId="0" applyFont="1" applyBorder="1" applyAlignment="1">
      <alignment horizontal="center" vertical="top" wrapText="1"/>
    </xf>
    <xf numFmtId="0" fontId="76" fillId="0" borderId="3" xfId="0" applyFont="1" applyBorder="1" applyAlignment="1">
      <alignment horizontal="center" vertical="top" wrapText="1"/>
    </xf>
    <xf numFmtId="0" fontId="75" fillId="5" borderId="1" xfId="0" applyFont="1" applyFill="1" applyBorder="1" applyAlignment="1">
      <alignment horizontal="center" vertical="top" wrapText="1"/>
    </xf>
    <xf numFmtId="0" fontId="75" fillId="5" borderId="2" xfId="0" applyFont="1" applyFill="1" applyBorder="1" applyAlignment="1">
      <alignment horizontal="center" vertical="top" wrapText="1"/>
    </xf>
    <xf numFmtId="0" fontId="75" fillId="5" borderId="3" xfId="0" applyFont="1" applyFill="1" applyBorder="1" applyAlignment="1">
      <alignment horizontal="center" vertical="top"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3" fillId="0" borderId="2" xfId="0" applyFont="1" applyBorder="1" applyAlignment="1">
      <alignment horizontal="right"/>
    </xf>
    <xf numFmtId="0" fontId="3" fillId="0" borderId="3" xfId="0" applyFont="1" applyBorder="1" applyAlignment="1">
      <alignment horizontal="right"/>
    </xf>
    <xf numFmtId="0" fontId="50" fillId="0" borderId="5" xfId="0" applyFont="1" applyBorder="1" applyAlignment="1">
      <alignment horizontal="center" vertical="top" wrapText="1"/>
    </xf>
    <xf numFmtId="0" fontId="51" fillId="0" borderId="5" xfId="0" applyFont="1" applyBorder="1" applyAlignment="1">
      <alignment horizontal="center" vertical="top" wrapText="1"/>
    </xf>
    <xf numFmtId="0" fontId="50" fillId="4" borderId="2" xfId="0" applyFont="1" applyFill="1" applyBorder="1" applyAlignment="1">
      <alignment horizontal="center" vertical="top" wrapText="1"/>
    </xf>
    <xf numFmtId="0" fontId="3" fillId="0" borderId="2" xfId="0" applyFont="1" applyBorder="1" applyAlignment="1">
      <alignment horizontal="left" vertical="top"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cellXfs>
  <cellStyles count="3">
    <cellStyle name="Comma" xfId="1" builtinId="3"/>
    <cellStyle name="Normal" xfId="0" builtinId="0"/>
    <cellStyle name="Normal 2" xfId="2"/>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externalLink" Target="externalLinks/externalLink11.xml"/><Relationship Id="rId55" Type="http://schemas.openxmlformats.org/officeDocument/2006/relationships/externalLink" Target="externalLinks/externalLink16.xml"/><Relationship Id="rId63" Type="http://schemas.openxmlformats.org/officeDocument/2006/relationships/externalLink" Target="externalLinks/externalLink24.xml"/><Relationship Id="rId68" Type="http://schemas.openxmlformats.org/officeDocument/2006/relationships/externalLink" Target="externalLinks/externalLink29.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3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openxmlformats.org/officeDocument/2006/relationships/externalLink" Target="externalLinks/externalLink14.xml"/><Relationship Id="rId58" Type="http://schemas.openxmlformats.org/officeDocument/2006/relationships/externalLink" Target="externalLinks/externalLink19.xml"/><Relationship Id="rId66" Type="http://schemas.openxmlformats.org/officeDocument/2006/relationships/externalLink" Target="externalLinks/externalLink27.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0.xml"/><Relationship Id="rId57" Type="http://schemas.openxmlformats.org/officeDocument/2006/relationships/externalLink" Target="externalLinks/externalLink18.xml"/><Relationship Id="rId61"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externalLink" Target="externalLinks/externalLink13.xml"/><Relationship Id="rId60" Type="http://schemas.openxmlformats.org/officeDocument/2006/relationships/externalLink" Target="externalLinks/externalLink21.xml"/><Relationship Id="rId65" Type="http://schemas.openxmlformats.org/officeDocument/2006/relationships/externalLink" Target="externalLinks/externalLink26.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56" Type="http://schemas.openxmlformats.org/officeDocument/2006/relationships/externalLink" Target="externalLinks/externalLink17.xml"/><Relationship Id="rId64" Type="http://schemas.openxmlformats.org/officeDocument/2006/relationships/externalLink" Target="externalLinks/externalLink25.xml"/><Relationship Id="rId69" Type="http://schemas.openxmlformats.org/officeDocument/2006/relationships/externalLink" Target="externalLinks/externalLink30.xml"/><Relationship Id="rId8" Type="http://schemas.openxmlformats.org/officeDocument/2006/relationships/worksheet" Target="worksheets/sheet8.xml"/><Relationship Id="rId51" Type="http://schemas.openxmlformats.org/officeDocument/2006/relationships/externalLink" Target="externalLinks/externalLink12.xml"/><Relationship Id="rId72" Type="http://schemas.openxmlformats.org/officeDocument/2006/relationships/externalLink" Target="externalLinks/externalLink3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59" Type="http://schemas.openxmlformats.org/officeDocument/2006/relationships/externalLink" Target="externalLinks/externalLink20.xml"/><Relationship Id="rId67" Type="http://schemas.openxmlformats.org/officeDocument/2006/relationships/externalLink" Target="externalLinks/externalLink28.xml"/><Relationship Id="rId20" Type="http://schemas.openxmlformats.org/officeDocument/2006/relationships/worksheet" Target="worksheets/sheet20.xml"/><Relationship Id="rId41" Type="http://schemas.openxmlformats.org/officeDocument/2006/relationships/externalLink" Target="externalLinks/externalLink2.xml"/><Relationship Id="rId54" Type="http://schemas.openxmlformats.org/officeDocument/2006/relationships/externalLink" Target="externalLinks/externalLink15.xml"/><Relationship Id="rId62" Type="http://schemas.openxmlformats.org/officeDocument/2006/relationships/externalLink" Target="externalLinks/externalLink23.xml"/><Relationship Id="rId70" Type="http://schemas.openxmlformats.org/officeDocument/2006/relationships/externalLink" Target="externalLinks/externalLink31.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7831EA4E-36EF-4004-9427-6355F3A790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116602</xdr:colOff>
      <xdr:row>0</xdr:row>
      <xdr:rowOff>695326</xdr:rowOff>
    </xdr:to>
    <xdr:pic>
      <xdr:nvPicPr>
        <xdr:cNvPr id="3" name="Picture 2" descr="RMC_LOGO.jpg">
          <a:extLst>
            <a:ext uri="{FF2B5EF4-FFF2-40B4-BE49-F238E27FC236}">
              <a16:creationId xmlns:a16="http://schemas.microsoft.com/office/drawing/2014/main" xmlns="" id="{351692A3-5327-4E28-9E54-77345F649E82}"/>
            </a:ext>
          </a:extLst>
        </xdr:cNvPr>
        <xdr:cNvPicPr>
          <a:picLocks noChangeAspect="1"/>
        </xdr:cNvPicPr>
      </xdr:nvPicPr>
      <xdr:blipFill>
        <a:blip xmlns:r="http://schemas.openxmlformats.org/officeDocument/2006/relationships" r:embed="rId2" cstate="print"/>
        <a:stretch>
          <a:fillRect/>
        </a:stretch>
      </xdr:blipFill>
      <xdr:spPr>
        <a:xfrm>
          <a:off x="4800601" y="47626"/>
          <a:ext cx="611901"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48A16655-1132-4D8A-8A08-AC235FFAB2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253D65FE-2370-4B81-A2A0-F9DA27D77B57}"/>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15D1B78D-67AF-4A31-AE44-722A66CFC4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6ADEE2DC-4DB2-49D7-AE07-C3E8BF0F0965}"/>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ARD%20-06/ROAD/PCC%20ROAD%20Bandhgari%20Krisn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Downloads/VISHAL%20JE/ward%2038%20boulder%20and%20rcc%20drain%20And%20RCC%20Bench%20%20At%20Ghasi%20Mohall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WARD-23\CULVERT\(1)%20CULVERT%20JAMIL%20AKTAR-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WARD-23\PCC%20ROAD\(5)%20KUTCHA%20PCC%20AOULIYA%20MASZID-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WARD-23\PCC%20ROAD\(7)%20KUTCHA%20PCC%20BEBY%20TABASSUM%20-2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WARD-23\PCC%20ROAD\(4)%20PCC%20TASLIM%20MASZID%20TABREJ%20MEDICAL-2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WARD-23\PCC%20ROAD\(6)%20KUTCHA%20PCC%20SOUTH%20EAST%20SABBIR-2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WARD-24\PAVER%20BLOCK\(R)%20PAVER%20BLOCK,%20JAMIA%20HOUSSINIA-2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WARD-24\PAVER%20BLOCK\(29)%20PAVER%20BLOCK%20&amp;%20%20RCC%20KURBAN%20GALI%20LAKHAN-2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WARD-24\RCC%20DRAIN\(1)%20RAILING%20RIVER%20SIDE%20LALALAJ%20PAT-2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WARD-24\RCC%20DRAIN\(1)%20RCC%20KADRU%20SARNA%20TOLI,%20MUNNAZIR-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ARD%20-07/DRAIN/RCC%20SLAB%20atKhorhatoli.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Admin/Downloads/EWS%2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WARD-29\PAVER%20BLOCK\(2)%20PAVER%20BLOCK,%20SARNA%20ASTHAL.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WARD-29\PAVER%20BLOCK\(29)%20PAVER%20BLOCK%20&amp;%20%20RCC%20KURBAN%20GALI%20LAKHAN-2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WARD-29\PAVER%20BLOCK\(1)%20PAVER%20BLOCK%20&amp;%20%20RCC%20KURBAN%20GALI%20LAKHAN-2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WARD-29\RCC%20DRAIN-29\(3)%20DRAIN%20SHAHBAG%20Md.SHAH-2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WARD-29\RCC%20DRAIN-29\(1)%20DRAIN%20IRGU%20(1'6''x1'6'')%20ROAD%20TANVEER%20-2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Admin/Downloads/vnd.openxmlformats-officedocument.spreadsheetml.sheet&amp;rendition=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UPENDRA%20JE\ILHI%20NAGAR%20RAJA%20JEE%20W.N.%203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I:\UPENDRA%20JE\P.C.C%20ROAD%20AT%20%20ILHI%20NAGAR%20MUSTKIM%20JEE%20W.N.%203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UPENDRA%20JE\P.C.C%20ROAD%20AT%20NEW%20ARIA%20PIPER%20TOLI%20BIMAL%20TOPPO%20W.N.%20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ARD%20-07/ROAD/PCC%20ROAD%20gadigaon%20Pahantoli%20kuwar%20runda.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UPENDRA%20JE\P.C.C%20ROAD%20AT%20bazra%20w.n.%2035%20-%20Copy.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Admin/Downloads/VISHAL%20JE/PAVER%20BLOCKS%20At%20New%20Pundag%20R%2010%20WARD%20NO%204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Admin/Downloads/VISHAL%20JE/PCC%20Road%20At%20BANK%20MODE%20SEC%202%20%20Ward%204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I:\ward%2013\(8)%20DRAIN%20K.%20BAGAN%20ROAD-7%20PRABHAT%20KUMAR%20(MOON%20BHAKLA-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ARD-08/DRAIN/RCC%20DRain%20Sarna%20Toli%20Boli%20kotch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ARD-08/DRAIN/RCC%20DRain%20Adarsh%20Nagar%20Suresh%20Sing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ard%2018/RCC%20DRAIN%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Downloads/badshah%20lodge%20gal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CC%20DRain%20ved%20narayan%20gali.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Downloads/VISHAL%20JE/BITUMINOUS%20ROAD%20AT%20SHIV%20GANJ%20WARD%20NO.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Bandh€gari €krishna"/>
      <sheetName val="BOQ"/>
    </sheetNames>
    <sheetDataSet>
      <sheetData sheetId="0" refreshError="1">
        <row r="3">
          <cell r="A3" t="str">
            <v>Name of Work :- Construction of PCC Road at New Nagar Bandhgari from house of Yugal Singh Munda house to Prakash Ram house under ward no-06</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8">
          <cell r="G8">
            <v>32.29</v>
          </cell>
          <cell r="I8">
            <v>151.82</v>
          </cell>
        </row>
        <row r="9">
          <cell r="A9" t="str">
            <v>2  4/M004</v>
          </cell>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G12">
            <v>9.6300000000000008</v>
          </cell>
          <cell r="I12">
            <v>347.85</v>
          </cell>
        </row>
        <row r="13">
          <cell r="A13" t="str">
            <v>3 5.6.8WRD</v>
          </cell>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G16">
            <v>23.22</v>
          </cell>
          <cell r="I16">
            <v>1756.4</v>
          </cell>
        </row>
        <row r="17">
          <cell r="A17" t="str">
            <v>4 5.3.1.1</v>
          </cell>
          <cell r="B17" t="str">
            <v>Providing and laying in position cement concrete of specified grade excluding the cost of centering and shuttering - All work up to plinth level1:1.5:3 (1 Cement : 1.5 coarse sand zone(III): 3 graded stone aggregate 20mm nominal size)</v>
          </cell>
        </row>
        <row r="20">
          <cell r="G20">
            <v>28.32</v>
          </cell>
          <cell r="I20">
            <v>4961.7299999999996</v>
          </cell>
        </row>
        <row r="21">
          <cell r="A21" t="str">
            <v>55.3.17.1</v>
          </cell>
          <cell r="B21" t="str">
            <v>Centering and Shuttering including strutting, propping etc and removal of from for   Foundation , footing , bases of columns etc for mass concrete.</v>
          </cell>
        </row>
        <row r="24">
          <cell r="G24">
            <v>18.59</v>
          </cell>
          <cell r="I24">
            <v>194.5</v>
          </cell>
        </row>
        <row r="26">
          <cell r="G26">
            <v>12.18</v>
          </cell>
        </row>
        <row r="27">
          <cell r="G27">
            <v>9.6300000000000008</v>
          </cell>
        </row>
        <row r="28">
          <cell r="G28">
            <v>23.22</v>
          </cell>
        </row>
        <row r="29">
          <cell r="G29">
            <v>24.36</v>
          </cell>
        </row>
        <row r="30">
          <cell r="G30">
            <v>32.29</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TAILED ESTIMATE"/>
      <sheetName val="MATERIAL STATEMENT"/>
    </sheetNames>
    <sheetDataSet>
      <sheetData sheetId="0" refreshError="1">
        <row r="5">
          <cell r="A5" t="str">
            <v>2.       (J.B.C.D 5.1.1+ 5.1.2)</v>
          </cell>
          <cell r="B5" t="str">
            <v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v>
          </cell>
        </row>
        <row r="9">
          <cell r="I9">
            <v>151.82</v>
          </cell>
        </row>
        <row r="10">
          <cell r="B10" t="str">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ell>
        </row>
        <row r="15">
          <cell r="B15" t="str">
            <v xml:space="preserve"> Supplying and laying (properly as per design and drawing )rip-rap with good quality of boulders duly packed including the cost of materials,royalty all taxes etc.but excluding the cost of carriage, all complete as per specification and direction of E/I.</v>
          </cell>
        </row>
        <row r="20">
          <cell r="A20" t="str">
            <v>5.             J.B.C.D.  5.3.10</v>
          </cell>
          <cell r="B20" t="str">
            <v>Reinforced cement concrete work in walls (any thickness), including attached pilasters, piers, abutments, posts and struts etc.above plinth level, excluding cost of centering, shuttering, finishing and reinforce:      1:1.5:3 (1 cement:1.5:coarse sand (zone-III):3 graded stone aggregate 20 mm nominal size)</v>
          </cell>
        </row>
        <row r="25">
          <cell r="A25" t="str">
            <v>6.   (J.B.C.D.-5.5.4  + 5.5.5a</v>
          </cell>
          <cell r="B25" t="str">
            <v xml:space="preserve">Providing Tor steel reinforcement of 10mm and 8mm dia bars as per approved design and drawing -----do-----do-----(a)10mm(TMT coil Fe 500)(Only valid for SAIL , TATA Steel) @2.5Kg/cft  </v>
          </cell>
        </row>
        <row r="44">
          <cell r="B44" t="str">
            <v>Providing  Precast R.C.C M 200 in nominal mix (1:1.5:3) in slab ……..do…..all complete as per specification and direction of E/I.</v>
          </cell>
        </row>
        <row r="49">
          <cell r="B49" t="str">
            <v>Providing  Tor steel reinforcement of 10mm dia  bars as per approved design and drawing –do-- --do—</v>
          </cell>
        </row>
        <row r="53">
          <cell r="B53" t="str">
            <v>Centering and shuttering including strutting, propping etc . And removal of form for foundation ,footings, base of columns, etc. for mass concrete</v>
          </cell>
        </row>
        <row r="64">
          <cell r="B64" t="str">
            <v>EARTH-LEAD-1km</v>
          </cell>
        </row>
      </sheetData>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efreshError="1">
        <row r="2">
          <cell r="B2" t="str">
            <v>Name of Work :- CONSTRUCTION OF RCC CULVERT NEAR EX. COUNCILLAR JAMIL AKTAR HOUSE UNDER WARD NO:-23</v>
          </cell>
        </row>
        <row r="4">
          <cell r="A4">
            <v>1</v>
          </cell>
          <cell r="B4" t="str">
            <v>Labour for cleaning the work site before and after work etc.</v>
          </cell>
          <cell r="G4">
            <v>3</v>
          </cell>
          <cell r="H4" t="str">
            <v>Each</v>
          </cell>
          <cell r="I4">
            <v>326.85000000000002</v>
          </cell>
        </row>
        <row r="5">
          <cell r="A5" t="str">
            <v>2     5.10.2</v>
          </cell>
          <cell r="B5" t="str">
            <v>Dismantling plain cement or lime concrete work including ………do…….complete as per specification and  direction of E/I.</v>
          </cell>
        </row>
        <row r="9">
          <cell r="G9">
            <v>0.34</v>
          </cell>
          <cell r="I9">
            <v>955.89</v>
          </cell>
        </row>
        <row r="10">
          <cell r="A10" t="str">
            <v>3
5.10.3</v>
          </cell>
          <cell r="B10" t="str">
            <v>Dismantling R.C.C work  including stacking serviceable materials in countable stacks within 15M.lead and disposal of unserviceable materials with all leads complete  as per direction of E/I.</v>
          </cell>
        </row>
        <row r="14">
          <cell r="G14">
            <v>0.28000000000000003</v>
          </cell>
          <cell r="I14">
            <v>1993.04</v>
          </cell>
        </row>
        <row r="15">
          <cell r="A15" t="str">
            <v xml:space="preserve">4.            5.1.1      </v>
          </cell>
        </row>
        <row r="19">
          <cell r="G19">
            <v>10.92</v>
          </cell>
          <cell r="I19">
            <v>151.82</v>
          </cell>
        </row>
        <row r="20">
          <cell r="A20" t="str">
            <v>5.           M-004</v>
          </cell>
          <cell r="B20" t="str">
            <v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ell>
        </row>
        <row r="23">
          <cell r="G23">
            <v>0.61</v>
          </cell>
          <cell r="I23">
            <v>481.67</v>
          </cell>
        </row>
        <row r="24">
          <cell r="A24" t="str">
            <v>6
 5.6.8</v>
          </cell>
          <cell r="B24" t="str">
            <v>Supplying and laying (properly as per design and drawing) rip-rap with good  quality of boulders duly packed including the cost of materials, royalty all taxes etc. but excluding the cost of carriage all complete as per specification and direction of E/I.</v>
          </cell>
        </row>
        <row r="27">
          <cell r="G27">
            <v>1.03</v>
          </cell>
          <cell r="I27">
            <v>1756.4</v>
          </cell>
        </row>
        <row r="28">
          <cell r="A28" t="str">
            <v>7   5.3.2.1</v>
          </cell>
          <cell r="B28" t="str">
            <v>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v>
          </cell>
        </row>
        <row r="32">
          <cell r="G32">
            <v>3.51</v>
          </cell>
          <cell r="I32">
            <v>6082.45</v>
          </cell>
        </row>
        <row r="33">
          <cell r="A33" t="str">
            <v>8                  5.3.11</v>
          </cell>
          <cell r="B33" t="str">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ell>
        </row>
        <row r="36">
          <cell r="G36">
            <v>1.65</v>
          </cell>
          <cell r="I36">
            <v>6308.87</v>
          </cell>
        </row>
        <row r="37">
          <cell r="A37">
            <v>9</v>
          </cell>
          <cell r="B37" t="str">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ell>
        </row>
        <row r="41">
          <cell r="G41">
            <v>0.21</v>
          </cell>
          <cell r="I41">
            <v>83314.02</v>
          </cell>
        </row>
        <row r="45">
          <cell r="G45">
            <v>0.26</v>
          </cell>
          <cell r="I45">
            <v>82096.539999999994</v>
          </cell>
        </row>
        <row r="46">
          <cell r="A46" t="str">
            <v>10                 5.3.17.1</v>
          </cell>
          <cell r="B46" t="str">
            <v>Centering and shuttering including strutting, propping etc. and removal of from for Foundations,footings, bases of columns, etc. for mass concrete.</v>
          </cell>
        </row>
        <row r="50">
          <cell r="G50">
            <v>13.01</v>
          </cell>
          <cell r="I50">
            <v>194.5</v>
          </cell>
        </row>
        <row r="51">
          <cell r="A51">
            <v>11</v>
          </cell>
        </row>
        <row r="52">
          <cell r="G52">
            <v>2.2199999999999998</v>
          </cell>
          <cell r="I52">
            <v>848.82</v>
          </cell>
        </row>
        <row r="53">
          <cell r="G53">
            <v>0.61</v>
          </cell>
          <cell r="I53">
            <v>447.06</v>
          </cell>
        </row>
        <row r="54">
          <cell r="G54">
            <v>1.03</v>
          </cell>
          <cell r="I54">
            <v>679.66</v>
          </cell>
        </row>
        <row r="55">
          <cell r="G55">
            <v>4.4399999999999995</v>
          </cell>
          <cell r="I55">
            <v>447.06</v>
          </cell>
        </row>
        <row r="56">
          <cell r="G56">
            <v>10.92</v>
          </cell>
          <cell r="I56">
            <v>117.54</v>
          </cell>
        </row>
      </sheetData>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ROAD AT GOWALA TOTI, BESIDE GALI MASZID AOULIYA UNDER WARD NO-23</v>
          </cell>
        </row>
        <row r="4">
          <cell r="A4">
            <v>1</v>
          </cell>
          <cell r="B4" t="str">
            <v>Labour for site clearence before and after the work etc.</v>
          </cell>
          <cell r="G4">
            <v>1</v>
          </cell>
          <cell r="H4" t="str">
            <v>No.</v>
          </cell>
          <cell r="I4">
            <v>326.85000000000002</v>
          </cell>
        </row>
        <row r="5">
          <cell r="A5" t="str">
            <v>2       5.1.1.</v>
          </cell>
          <cell r="B5"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ell>
        </row>
        <row r="8">
          <cell r="G8">
            <v>11.38</v>
          </cell>
          <cell r="I8">
            <v>151.82</v>
          </cell>
        </row>
        <row r="9">
          <cell r="A9" t="str">
            <v>3.         5.1.10</v>
          </cell>
          <cell r="B9" t="str">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ell>
        </row>
        <row r="12">
          <cell r="G12">
            <v>4.25</v>
          </cell>
          <cell r="I12">
            <v>589.51</v>
          </cell>
        </row>
        <row r="13">
          <cell r="A13" t="str">
            <v>4.       5.6.8 (C.I.W.)</v>
          </cell>
          <cell r="B13" t="str">
            <v>Supplying and laying (properly as per design and drawing )rip-rap with good quality of boulders duly packed including the cost of materials,royalty all taxes etc.but excluding the cost of carriage, all complete as per specification and direction of E/I.</v>
          </cell>
        </row>
        <row r="16">
          <cell r="G16">
            <v>7.14</v>
          </cell>
          <cell r="I16">
            <v>1756.4</v>
          </cell>
        </row>
        <row r="17">
          <cell r="A17" t="str">
            <v>5.     5.3.1.1</v>
          </cell>
          <cell r="B17" t="str">
            <v xml:space="preserve">Providing and laying in position cement concrete of specified grade excluding the cost of centering and shuttering- All work upto plinth level : 1:1½:3 (1 cemet : 1½ coarse sand (zone-iii) : 3 graded stone aggregate 20mm nominal size )  </v>
          </cell>
        </row>
        <row r="20">
          <cell r="G20">
            <v>8.5</v>
          </cell>
          <cell r="I20">
            <v>4961.7299999999996</v>
          </cell>
        </row>
        <row r="21">
          <cell r="A21" t="str">
            <v>6               5.3.17.1</v>
          </cell>
          <cell r="B21" t="str">
            <v>Centering and shuttering including strutting, propping etc. and removal of from for Foundations, footings, bases of columns, etc. for mass concrete.</v>
          </cell>
        </row>
        <row r="24">
          <cell r="G24">
            <v>11.15</v>
          </cell>
          <cell r="I24">
            <v>194.5</v>
          </cell>
        </row>
        <row r="25">
          <cell r="A25">
            <v>7</v>
          </cell>
        </row>
        <row r="26">
          <cell r="A26" t="str">
            <v>(i)</v>
          </cell>
          <cell r="B26" t="str">
            <v>SAND-LEAD-49KM</v>
          </cell>
          <cell r="G26">
            <v>3.66</v>
          </cell>
          <cell r="I26">
            <v>848.82</v>
          </cell>
        </row>
        <row r="27">
          <cell r="A27" t="str">
            <v>(ii)</v>
          </cell>
          <cell r="B27" t="str">
            <v>LOCAL SAND-LEAD-14KM</v>
          </cell>
          <cell r="G27">
            <v>4.25</v>
          </cell>
          <cell r="I27">
            <v>328.02</v>
          </cell>
        </row>
        <row r="28">
          <cell r="A28" t="str">
            <v>(iii)</v>
          </cell>
          <cell r="B28" t="str">
            <v>STONE CHIPS-LEAD-22KM</v>
          </cell>
          <cell r="G28">
            <v>7.31</v>
          </cell>
          <cell r="I28">
            <v>447.06</v>
          </cell>
        </row>
        <row r="29">
          <cell r="A29" t="str">
            <v>(iv)</v>
          </cell>
          <cell r="B29" t="str">
            <v>BOULDER-LEAD-36KM</v>
          </cell>
          <cell r="G29">
            <v>7.14</v>
          </cell>
          <cell r="I29">
            <v>679.66</v>
          </cell>
        </row>
        <row r="30">
          <cell r="A30" t="str">
            <v>(v)</v>
          </cell>
          <cell r="B30" t="str">
            <v>EARTH-LEAD-01km</v>
          </cell>
          <cell r="G30">
            <v>11.38</v>
          </cell>
          <cell r="I30">
            <v>117.54</v>
          </cell>
        </row>
      </sheetData>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ROAD AT GOWALA TOLI BEBY TABASSUM'S GALI UNDER WARD NO-23</v>
          </cell>
        </row>
        <row r="4">
          <cell r="A4">
            <v>1</v>
          </cell>
          <cell r="B4" t="str">
            <v>Labour for site clearence before and after the work etc.</v>
          </cell>
          <cell r="G4">
            <v>1</v>
          </cell>
          <cell r="H4" t="str">
            <v>No.</v>
          </cell>
          <cell r="I4">
            <v>326.85000000000002</v>
          </cell>
        </row>
        <row r="5">
          <cell r="A5" t="str">
            <v>2       5.1.1.</v>
          </cell>
          <cell r="B5"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ell>
        </row>
        <row r="8">
          <cell r="G8">
            <v>15.18</v>
          </cell>
          <cell r="I8">
            <v>151.82</v>
          </cell>
        </row>
        <row r="9">
          <cell r="A9" t="str">
            <v>3.         5.1.10</v>
          </cell>
          <cell r="B9" t="str">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ell>
        </row>
        <row r="12">
          <cell r="G12">
            <v>5.66</v>
          </cell>
          <cell r="I12">
            <v>589.51</v>
          </cell>
        </row>
        <row r="13">
          <cell r="A13" t="str">
            <v>4.       5.6.8 (C.I.W.)</v>
          </cell>
          <cell r="B13" t="str">
            <v>Supplying and laying (properly as per design and drawing )rip-rap with good quality of boulders duly packed including the cost of materials,royalty all taxes etc.but excluding the cost of carriage, all complete as per specification and direction of E/I.</v>
          </cell>
        </row>
        <row r="16">
          <cell r="G16">
            <v>9.52</v>
          </cell>
          <cell r="I16">
            <v>1756.4</v>
          </cell>
        </row>
        <row r="17">
          <cell r="A17" t="str">
            <v>5.     5.3.1.1</v>
          </cell>
          <cell r="B17" t="str">
            <v xml:space="preserve">Providing and laying in position cement concrete of specified grade excluding the cost of centering and shuttering- All work upto plinth level : 1:1½:3 (1 cemet : 1½ coarse sand (zone-iii) : 3 graded stone aggregate 20mm nominal size )  </v>
          </cell>
        </row>
        <row r="20">
          <cell r="G20">
            <v>11.33</v>
          </cell>
          <cell r="I20">
            <v>4961.7299999999996</v>
          </cell>
        </row>
        <row r="21">
          <cell r="A21" t="str">
            <v>6               5.3.17.1</v>
          </cell>
          <cell r="B21" t="str">
            <v>Centering and shuttering including strutting, propping etc. and removal of from for Foundations, footings, bases of columns, etc. for mass concrete.</v>
          </cell>
        </row>
        <row r="24">
          <cell r="G24">
            <v>9.2899999999999991</v>
          </cell>
          <cell r="I24">
            <v>194.5</v>
          </cell>
        </row>
        <row r="25">
          <cell r="A25">
            <v>7</v>
          </cell>
        </row>
        <row r="26">
          <cell r="A26" t="str">
            <v>(i)</v>
          </cell>
          <cell r="B26" t="str">
            <v>SAND-LEAD-49KM</v>
          </cell>
          <cell r="G26">
            <v>4.87</v>
          </cell>
          <cell r="I26">
            <v>848.82</v>
          </cell>
        </row>
        <row r="27">
          <cell r="A27" t="str">
            <v>(ii)</v>
          </cell>
          <cell r="B27" t="str">
            <v>LOCAL SAND-LEAD-14KM</v>
          </cell>
          <cell r="G27">
            <v>5.66</v>
          </cell>
          <cell r="I27">
            <v>328.02</v>
          </cell>
        </row>
        <row r="28">
          <cell r="A28" t="str">
            <v>(iii)</v>
          </cell>
          <cell r="B28" t="str">
            <v>STONE CHIPS-LEAD-22KM</v>
          </cell>
          <cell r="G28">
            <v>9.74</v>
          </cell>
          <cell r="I28">
            <v>447.06</v>
          </cell>
        </row>
        <row r="29">
          <cell r="A29" t="str">
            <v>(iv)</v>
          </cell>
          <cell r="B29" t="str">
            <v>BOULDER-LEAD-36KM</v>
          </cell>
          <cell r="G29">
            <v>9.52</v>
          </cell>
          <cell r="I29">
            <v>679.66</v>
          </cell>
        </row>
        <row r="30">
          <cell r="A30" t="str">
            <v>(v)</v>
          </cell>
          <cell r="B30" t="str">
            <v>EARTH-LEAD-01km</v>
          </cell>
          <cell r="G30">
            <v>15.18</v>
          </cell>
          <cell r="I30">
            <v>117.54</v>
          </cell>
        </row>
      </sheetData>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ESTIMATE"/>
      <sheetName val="MATERIAL "/>
      <sheetName val="BOQ"/>
    </sheetNames>
    <sheetDataSet>
      <sheetData sheetId="0">
        <row r="2">
          <cell r="A2" t="str">
            <v xml:space="preserve">Name of Work :-IMPROVEMENT OF PCC ROAD AT TASLIM MASZID ROAD FROM TABREJ MEDICAL TO MAQBUL ENCLAVE  UNDER WARD NO. 23 </v>
          </cell>
        </row>
        <row r="4">
          <cell r="G4">
            <v>3</v>
          </cell>
          <cell r="I4">
            <v>326.85000000000002</v>
          </cell>
        </row>
        <row r="5">
          <cell r="A5" t="str">
            <v>2.     5.3.1.1</v>
          </cell>
        </row>
        <row r="8">
          <cell r="G8">
            <v>71.44</v>
          </cell>
          <cell r="I8">
            <v>4961.7299999999996</v>
          </cell>
        </row>
        <row r="9">
          <cell r="A9" t="str">
            <v>3                 5.3.17.1</v>
          </cell>
        </row>
        <row r="12">
          <cell r="G12">
            <v>28.81</v>
          </cell>
          <cell r="I12">
            <v>194.5</v>
          </cell>
        </row>
        <row r="13">
          <cell r="A13">
            <v>4</v>
          </cell>
        </row>
        <row r="14">
          <cell r="I14">
            <v>848.82</v>
          </cell>
        </row>
        <row r="15">
          <cell r="I15">
            <v>447.06</v>
          </cell>
        </row>
      </sheetData>
      <sheetData sheetId="1">
        <row r="4">
          <cell r="F4">
            <v>30.72</v>
          </cell>
          <cell r="G4">
            <v>61.44</v>
          </cell>
        </row>
      </sheetData>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ROAD AT SOUTH EAST STREET ROAD, FROM SABBIR AHAMAD SHOP TO NAUSHAD HOUSE UNDER WARD NO-23</v>
          </cell>
        </row>
        <row r="4">
          <cell r="A4">
            <v>1</v>
          </cell>
          <cell r="B4" t="str">
            <v>Labour for site clearence before and after the work etc.</v>
          </cell>
          <cell r="G4">
            <v>1</v>
          </cell>
          <cell r="H4" t="str">
            <v>No.</v>
          </cell>
          <cell r="I4">
            <v>326.85000000000002</v>
          </cell>
        </row>
        <row r="5">
          <cell r="A5" t="str">
            <v>2       5.1.1.</v>
          </cell>
          <cell r="B5"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ell>
        </row>
        <row r="8">
          <cell r="G8">
            <v>22.77</v>
          </cell>
          <cell r="I8">
            <v>151.82</v>
          </cell>
        </row>
        <row r="9">
          <cell r="A9" t="str">
            <v>3.         5.1.10</v>
          </cell>
          <cell r="B9" t="str">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ell>
        </row>
        <row r="12">
          <cell r="G12">
            <v>8.5</v>
          </cell>
          <cell r="I12">
            <v>589.51</v>
          </cell>
        </row>
        <row r="13">
          <cell r="A13" t="str">
            <v>4.       5.6.8 (C.I.W.)</v>
          </cell>
          <cell r="B13" t="str">
            <v>Supplying and laying (properly as per design and drawing )rip-rap with good quality of boulders duly packed including the cost of materials,royalty all taxes etc.but excluding the cost of carriage, all complete as per specification and direction of E/I.</v>
          </cell>
        </row>
        <row r="16">
          <cell r="G16">
            <v>14.27</v>
          </cell>
          <cell r="I16">
            <v>1756.4</v>
          </cell>
        </row>
        <row r="17">
          <cell r="A17" t="str">
            <v>5.     5.3.1.1</v>
          </cell>
          <cell r="B17" t="str">
            <v xml:space="preserve">Providing and laying in position cement concrete of specified grade excluding the cost of centering and shuttering- All work upto plinth level : 1:1½:3 (1 cemet : 1½ coarse sand (zone-iii) : 3 graded stone aggregate 20mm nominal size )  </v>
          </cell>
        </row>
        <row r="20">
          <cell r="G20">
            <v>16.989999999999998</v>
          </cell>
          <cell r="I20">
            <v>4961.7299999999996</v>
          </cell>
        </row>
        <row r="21">
          <cell r="A21" t="str">
            <v>6               5.3.17.1</v>
          </cell>
          <cell r="B21" t="str">
            <v>Centering and shuttering including strutting, propping etc. and removal of from for Foundations, footings, bases of columns, etc. for mass concrete.</v>
          </cell>
        </row>
        <row r="24">
          <cell r="G24">
            <v>18.59</v>
          </cell>
          <cell r="I24">
            <v>194.5</v>
          </cell>
        </row>
        <row r="25">
          <cell r="A25">
            <v>7</v>
          </cell>
        </row>
        <row r="26">
          <cell r="A26" t="str">
            <v>(i)</v>
          </cell>
          <cell r="B26" t="str">
            <v>SAND-LEAD-49KM</v>
          </cell>
          <cell r="G26">
            <v>7.31</v>
          </cell>
          <cell r="I26">
            <v>848.82</v>
          </cell>
        </row>
        <row r="27">
          <cell r="A27" t="str">
            <v>(ii)</v>
          </cell>
          <cell r="B27" t="str">
            <v>LOCAL SAND-LEAD-14KM</v>
          </cell>
          <cell r="G27">
            <v>8.5</v>
          </cell>
          <cell r="I27">
            <v>328.02</v>
          </cell>
        </row>
        <row r="28">
          <cell r="A28" t="str">
            <v>(iii)</v>
          </cell>
          <cell r="B28" t="str">
            <v>STONE CHIPS-LEAD-22KM</v>
          </cell>
          <cell r="G28">
            <v>14.61</v>
          </cell>
          <cell r="I28">
            <v>447.06</v>
          </cell>
        </row>
        <row r="29">
          <cell r="A29" t="str">
            <v>(iv)</v>
          </cell>
          <cell r="B29" t="str">
            <v>BOULDER-LEAD-36KM</v>
          </cell>
          <cell r="G29">
            <v>14.27</v>
          </cell>
          <cell r="I29">
            <v>679.66</v>
          </cell>
        </row>
        <row r="30">
          <cell r="A30" t="str">
            <v>(v)</v>
          </cell>
          <cell r="B30" t="str">
            <v>EARTH-LEAD-01km</v>
          </cell>
          <cell r="G30">
            <v>22.77</v>
          </cell>
          <cell r="I30">
            <v>117.54</v>
          </cell>
        </row>
      </sheetData>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:-LAYING OF PAVER BLOK AT JAMIA HUSSAINIA AND IMLI TOLA, EMAM BARA UNDER WARD NO.24</v>
          </cell>
        </row>
        <row r="4">
          <cell r="A4">
            <v>1</v>
          </cell>
          <cell r="B4" t="str">
            <v>Labour for clearning the work site before and after work etc.</v>
          </cell>
          <cell r="G4">
            <v>5</v>
          </cell>
          <cell r="I4">
            <v>326.85000000000002</v>
          </cell>
        </row>
        <row r="5">
          <cell r="A5" t="str">
            <v>2       5.1.1.</v>
          </cell>
          <cell r="B5"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ell>
        </row>
        <row r="11">
          <cell r="G11">
            <v>85.57</v>
          </cell>
          <cell r="I11">
            <v>151.82</v>
          </cell>
        </row>
        <row r="12">
          <cell r="A12" t="str">
            <v>3.       16.91.2   DSR</v>
          </cell>
        </row>
        <row r="18">
          <cell r="G18">
            <v>421.19</v>
          </cell>
        </row>
        <row r="19">
          <cell r="A19" t="str">
            <v>4           5.3.1.1</v>
          </cell>
          <cell r="B19" t="str">
            <v xml:space="preserve">Providing and laying in position concrete of specified grade excluding the cost of centering and shuttering- All work upto plinth level :  1:1½:3 (1 cemet : 1½ coarse sand (zone-iii) : 3 graded stone aggregate 20mm nominal size )  </v>
          </cell>
        </row>
        <row r="25">
          <cell r="G25">
            <v>0.9</v>
          </cell>
        </row>
        <row r="27">
          <cell r="G27">
            <v>0.39</v>
          </cell>
        </row>
        <row r="28">
          <cell r="G28">
            <v>0.77</v>
          </cell>
        </row>
        <row r="29">
          <cell r="G29">
            <v>85.57</v>
          </cell>
        </row>
      </sheetData>
      <sheetData sheetId="1"/>
      <sheetData sheetId="2"/>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efreshError="1">
        <row r="13">
          <cell r="B13" t="str">
            <v>Providing and laying factory made chamfered edge 80mm thick cement concrete paver block  of M-30 grade with approved colour design and pattern using in footpath ,parks ,lawns,drive ways or lighttraffic parking etc,of required strength thickness and size shape made by table vibratory method using PU mould ,laid in required coloure and pattern over 50mm thick compacted bed of sand ,compacting and proper embedding laying of interlocking  paver blocks into the sand bedding layer through vibratory compaction by using plate vibrator,filling the joints with sand cutting of paver blocks as per required size and pattern ,finishing and sweeing extra sand complete all as per direction of  E/I</v>
          </cell>
        </row>
        <row r="16">
          <cell r="I16">
            <v>877.72</v>
          </cell>
        </row>
        <row r="20">
          <cell r="I20">
            <v>4961.7299999999996</v>
          </cell>
        </row>
      </sheetData>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Estimate"/>
      <sheetName val="BOQ"/>
      <sheetName val="Material"/>
      <sheetName val="FROM"/>
    </sheetNames>
    <sheetDataSet>
      <sheetData sheetId="0">
        <row r="2">
          <cell r="A2" t="str">
            <v>Name of Work :-INSTALLATION OF RALLING ON BRIDGE AT RIVER SIDE, BESIDE LALALAJ PATRAI SCHOOL UNDER WARD NO-24</v>
          </cell>
        </row>
        <row r="4">
          <cell r="A4">
            <v>1</v>
          </cell>
          <cell r="B4" t="str">
            <v>Labour for site clearence before and after the work etc.</v>
          </cell>
          <cell r="G4">
            <v>6</v>
          </cell>
          <cell r="I4">
            <v>326.85000000000002</v>
          </cell>
        </row>
        <row r="5">
          <cell r="A5">
            <v>2</v>
          </cell>
          <cell r="B5" t="str">
            <v>Railing Welding :- Welder Grade-(i) 1 Nos@ 6days</v>
          </cell>
          <cell r="G5">
            <v>3</v>
          </cell>
          <cell r="I5">
            <v>521.41999999999996</v>
          </cell>
        </row>
        <row r="6">
          <cell r="A6" t="str">
            <v>3         5.1.1.</v>
          </cell>
          <cell r="B6"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ell>
        </row>
        <row r="9">
          <cell r="G9">
            <v>0.6</v>
          </cell>
          <cell r="I9">
            <v>151.82</v>
          </cell>
        </row>
        <row r="10">
          <cell r="A10" t="str">
            <v>4.         5.1.10</v>
          </cell>
          <cell r="B10" t="str">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ell>
        </row>
        <row r="13">
          <cell r="G13">
            <v>0.06</v>
          </cell>
          <cell r="I13">
            <v>589.53</v>
          </cell>
        </row>
        <row r="14">
          <cell r="A14" t="str">
            <v>5.         5.6.8</v>
          </cell>
          <cell r="B14" t="str">
            <v>Supplying and laying (properly as per design and drawing ) rip-rap with good quality of boulders duly packed including the cost of materials,royalty all taxes etc.but excluding the cost of carriage, all complete as per specification and direction of E/I.</v>
          </cell>
        </row>
        <row r="17">
          <cell r="G17">
            <v>0.1</v>
          </cell>
          <cell r="I17">
            <v>1756.4</v>
          </cell>
        </row>
        <row r="18">
          <cell r="A18" t="str">
            <v>6.        5.3.1.1</v>
          </cell>
          <cell r="B18" t="str">
            <v xml:space="preserve">Providing and laying in position concrete of specified grade excluding the cost of centering and shuttering- All work upto plinth level : 1:1½:3 (1 cemet : 1½ coarse sand (zone-iii) : 3 graded stone aggregate 20mm nominal size )  </v>
          </cell>
        </row>
        <row r="22">
          <cell r="G22">
            <v>0.37</v>
          </cell>
          <cell r="I22">
            <v>4961.7299999999996</v>
          </cell>
        </row>
        <row r="24">
          <cell r="A24" t="str">
            <v>7                 5.5.30</v>
          </cell>
          <cell r="B24" t="str">
            <v>Supplying fitting and fixing M.S grill gate with M.S grills made of 20x6mm M.S flats or 16mm M.S square bars fitted on 25x25x6mm M.S Angle frame –do—(when steel is not supplied by the deptt.)</v>
          </cell>
        </row>
        <row r="33">
          <cell r="G33">
            <v>388.69550000000004</v>
          </cell>
          <cell r="H33" t="str">
            <v>kg</v>
          </cell>
          <cell r="I33">
            <v>118.98</v>
          </cell>
        </row>
        <row r="34">
          <cell r="A34" t="str">
            <v>8         5.8.41</v>
          </cell>
          <cell r="B34" t="str">
            <v>Providing primer one coat of red lead paint of approved make over new steel surface including preparing the surface after cleaning removing dust,dirt,scales ,smokes and grease and cleaning the surface thoroughly including cost of scaffholding and taxes all complete as per building specification and direction of E/I</v>
          </cell>
        </row>
        <row r="39">
          <cell r="G39">
            <v>27.1</v>
          </cell>
          <cell r="H39" t="str">
            <v>M²</v>
          </cell>
          <cell r="I39">
            <v>57.77</v>
          </cell>
        </row>
        <row r="40">
          <cell r="A40" t="str">
            <v>9         5.8.42</v>
          </cell>
          <cell r="B40" t="str">
            <v>Providing one coat of painting with ready mixed paint of approved shade and make over steel surface  including cleaning the surface thoroughly,scaffolding and taxes all complete as per building specification and direction of E/I</v>
          </cell>
        </row>
        <row r="41">
          <cell r="G41">
            <v>27.1</v>
          </cell>
          <cell r="H41" t="str">
            <v>M²</v>
          </cell>
          <cell r="I41">
            <v>43.3</v>
          </cell>
        </row>
        <row r="42">
          <cell r="A42" t="str">
            <v>10.           14.4          (R.C.D)</v>
          </cell>
          <cell r="B42" t="str">
            <v>Providing and laying Cement concrete wearing coat M-30 grade including reinforcement complete as per drawing and Technical Specifications</v>
          </cell>
        </row>
        <row r="45">
          <cell r="G45">
            <v>2.8</v>
          </cell>
          <cell r="H45" t="str">
            <v>M³</v>
          </cell>
          <cell r="I45">
            <v>10876.5</v>
          </cell>
        </row>
        <row r="48">
          <cell r="A48">
            <v>11</v>
          </cell>
          <cell r="B48" t="str">
            <v>CARRIAGE OF MATERIALS</v>
          </cell>
        </row>
        <row r="49">
          <cell r="A49" t="str">
            <v>(i)</v>
          </cell>
          <cell r="B49" t="str">
            <v>SAND-LEAD-49KM</v>
          </cell>
          <cell r="G49">
            <v>1.28</v>
          </cell>
          <cell r="I49">
            <v>848.82</v>
          </cell>
        </row>
        <row r="50">
          <cell r="A50" t="str">
            <v>(ii)</v>
          </cell>
          <cell r="B50" t="str">
            <v>LOCAL SAND-LEAD-14KM</v>
          </cell>
          <cell r="G50">
            <v>0.06</v>
          </cell>
          <cell r="I50">
            <v>328.02</v>
          </cell>
        </row>
        <row r="51">
          <cell r="A51" t="str">
            <v>(iii)</v>
          </cell>
          <cell r="B51" t="str">
            <v>STONE CHIPS-LEAD-22KM</v>
          </cell>
          <cell r="G51">
            <v>2.56</v>
          </cell>
          <cell r="I51">
            <v>447.06</v>
          </cell>
        </row>
        <row r="52">
          <cell r="A52" t="str">
            <v>(iv)</v>
          </cell>
          <cell r="B52" t="str">
            <v>BOULDER-LEAD-36KM</v>
          </cell>
          <cell r="G52">
            <v>0.1</v>
          </cell>
          <cell r="I52">
            <v>679.66</v>
          </cell>
        </row>
        <row r="53">
          <cell r="A53" t="str">
            <v>(v)</v>
          </cell>
          <cell r="B53" t="str">
            <v>EARTH-LEAD-01KM</v>
          </cell>
          <cell r="G53">
            <v>0.6</v>
          </cell>
          <cell r="I53">
            <v>117.54</v>
          </cell>
        </row>
      </sheetData>
      <sheetData sheetId="1"/>
      <sheetData sheetId="2"/>
      <sheetData sheetId="3"/>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RCC DRAIN KADRU, SARNA TOLI, MUNNAZIR HOUSE TO VICKY HOUSE UNDER WARD NO-24</v>
          </cell>
        </row>
        <row r="4">
          <cell r="A4">
            <v>1</v>
          </cell>
          <cell r="B4" t="str">
            <v>Labour for site clearence before and after the work etc.</v>
          </cell>
          <cell r="G4">
            <v>3</v>
          </cell>
          <cell r="I4">
            <v>326.85000000000002</v>
          </cell>
        </row>
        <row r="5">
          <cell r="A5" t="str">
            <v xml:space="preserve">    2         5.10.2</v>
          </cell>
          <cell r="B5" t="str">
            <v>Dismantling plain cement or lime concrete work including ………do…….complete as per specification and  direction of E/I.</v>
          </cell>
        </row>
        <row r="7">
          <cell r="G7">
            <v>3.4</v>
          </cell>
          <cell r="I7">
            <v>955.89</v>
          </cell>
        </row>
        <row r="8">
          <cell r="A8" t="str">
            <v>3       5.1.1.</v>
          </cell>
        </row>
        <row r="12">
          <cell r="G12">
            <v>20.04</v>
          </cell>
          <cell r="I12">
            <v>151.82</v>
          </cell>
        </row>
        <row r="13">
          <cell r="A13" t="str">
            <v>4.           M-004</v>
          </cell>
        </row>
        <row r="16">
          <cell r="G16">
            <v>2.19</v>
          </cell>
          <cell r="I16">
            <v>481.67</v>
          </cell>
        </row>
        <row r="17">
          <cell r="A17" t="str">
            <v>5.       5.6.8 (C.I.W.)</v>
          </cell>
        </row>
        <row r="20">
          <cell r="G20">
            <v>3.69</v>
          </cell>
          <cell r="I20">
            <v>1756.4</v>
          </cell>
        </row>
        <row r="21">
          <cell r="A21" t="str">
            <v>6.                                    5.3.10</v>
          </cell>
          <cell r="B21" t="str">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ell>
        </row>
        <row r="25">
          <cell r="G25">
            <v>10.97</v>
          </cell>
          <cell r="I25">
            <v>6082.45</v>
          </cell>
        </row>
        <row r="26">
          <cell r="A26" t="str">
            <v>7                  5.3.11</v>
          </cell>
          <cell r="B26" t="str">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ell>
        </row>
        <row r="29">
          <cell r="G29">
            <v>4.3899999999999997</v>
          </cell>
          <cell r="I29">
            <v>6308.87</v>
          </cell>
        </row>
        <row r="30">
          <cell r="A30">
            <v>8</v>
          </cell>
          <cell r="B30" t="str">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ell>
        </row>
        <row r="34">
          <cell r="G34">
            <v>0.56999999999999995</v>
          </cell>
          <cell r="H34" t="str">
            <v>MT</v>
          </cell>
          <cell r="I34">
            <v>83314.02</v>
          </cell>
        </row>
        <row r="38">
          <cell r="G38">
            <v>0.69</v>
          </cell>
          <cell r="H38" t="str">
            <v>MT</v>
          </cell>
          <cell r="I38">
            <v>82096.539999999994</v>
          </cell>
        </row>
        <row r="39">
          <cell r="A39" t="str">
            <v>9                 5.3.17.1</v>
          </cell>
          <cell r="B39" t="str">
            <v>Centering and shuttering including strutting, propping etc. and removal of from for Foundations,footings, bases of columns, etc. for mass concrete.</v>
          </cell>
        </row>
        <row r="43">
          <cell r="G43">
            <v>100.84</v>
          </cell>
          <cell r="I43">
            <v>194.5</v>
          </cell>
        </row>
        <row r="44">
          <cell r="A44">
            <v>10</v>
          </cell>
        </row>
        <row r="45">
          <cell r="I45">
            <v>848.82</v>
          </cell>
        </row>
        <row r="46">
          <cell r="I46">
            <v>447.06</v>
          </cell>
        </row>
        <row r="47">
          <cell r="I47">
            <v>447.06</v>
          </cell>
        </row>
        <row r="48">
          <cell r="I48">
            <v>679.66</v>
          </cell>
        </row>
        <row r="49">
          <cell r="I49">
            <v>117.54</v>
          </cell>
        </row>
      </sheetData>
      <sheetData sheetId="1"/>
      <sheetData sheetId="2">
        <row r="7">
          <cell r="F7">
            <v>6.6</v>
          </cell>
          <cell r="G7">
            <v>2.19</v>
          </cell>
          <cell r="H7">
            <v>13.21</v>
          </cell>
          <cell r="I7">
            <v>3.69</v>
          </cell>
          <cell r="J7">
            <v>20.04</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rain"/>
      <sheetName val="Drain Mat"/>
      <sheetName val="Khorhatoli Slab"/>
      <sheetName val="Sheet3"/>
    </sheetNames>
    <sheetDataSet>
      <sheetData sheetId="0" refreshError="1">
        <row r="3">
          <cell r="A3" t="str">
            <v>Name of Work :-Construction of RCC Slab in open Drain at Kokar,Khorhatoli from DON Bosco gate to Mission colony under ward no-07</v>
          </cell>
        </row>
        <row r="5">
          <cell r="A5">
            <v>1</v>
          </cell>
          <cell r="B5" t="str">
            <v>Providing labour for cleaning the site before and after the work.</v>
          </cell>
        </row>
        <row r="8">
          <cell r="G8">
            <v>10</v>
          </cell>
          <cell r="I8">
            <v>326.85000000000002</v>
          </cell>
        </row>
        <row r="9">
          <cell r="A9" t="str">
            <v>2 5.3.11</v>
          </cell>
          <cell r="B9" t="str">
            <v>Renforced cement conrete work in beams, suspended floors, having slopeup to 15' landing, balconies, shelves, chajjas, lintels, bands, plain windowsill ---------do----do-------E/I1:1.5:3 (1 Cement : 1.5 coarse sand zone(III): 3 graded stone aggregate 20mm nominal size)</v>
          </cell>
        </row>
        <row r="12">
          <cell r="G12">
            <v>50.98</v>
          </cell>
          <cell r="I12">
            <v>6308.87</v>
          </cell>
        </row>
        <row r="13">
          <cell r="A13">
            <v>3</v>
          </cell>
          <cell r="B13" t="str">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ell>
        </row>
        <row r="18">
          <cell r="A18" t="str">
            <v>(A)5.5.4</v>
          </cell>
          <cell r="B18" t="str">
            <v>08mm dia 40%</v>
          </cell>
          <cell r="G18">
            <v>1.62</v>
          </cell>
          <cell r="H18" t="str">
            <v>M.T.</v>
          </cell>
          <cell r="I18">
            <v>83314.02</v>
          </cell>
        </row>
        <row r="19">
          <cell r="A19" t="str">
            <v>(B)5.5.5(a)</v>
          </cell>
          <cell r="B19" t="str">
            <v>10mm dia 60%</v>
          </cell>
          <cell r="G19">
            <v>2.4300000000000002</v>
          </cell>
          <cell r="I19">
            <v>82096.539999999994</v>
          </cell>
        </row>
        <row r="21">
          <cell r="A21" t="str">
            <v>45.3.17.1</v>
          </cell>
          <cell r="B21" t="str">
            <v>Centering and Shuttering including strutting, propping etc and removal of from for   Foundation , footing , bases of columns etc for mass concrete.</v>
          </cell>
        </row>
        <row r="24">
          <cell r="G24">
            <v>111.52</v>
          </cell>
          <cell r="H24" t="str">
            <v>m2</v>
          </cell>
          <cell r="I24">
            <v>194.5</v>
          </cell>
        </row>
        <row r="26">
          <cell r="G26">
            <v>21.92</v>
          </cell>
        </row>
        <row r="27">
          <cell r="G27">
            <v>43.84</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
          <cell r="G7">
            <v>2.3600490890210515</v>
          </cell>
        </row>
        <row r="11">
          <cell r="G11">
            <v>134.52276975361087</v>
          </cell>
        </row>
        <row r="15">
          <cell r="G15">
            <v>10.629999999999999</v>
          </cell>
        </row>
        <row r="19">
          <cell r="G19">
            <v>17.71</v>
          </cell>
        </row>
        <row r="24">
          <cell r="G24">
            <v>14.17</v>
          </cell>
        </row>
        <row r="28">
          <cell r="G28">
            <v>31.860662701784197</v>
          </cell>
        </row>
        <row r="32">
          <cell r="G32">
            <v>271.06567534076817</v>
          </cell>
        </row>
        <row r="40">
          <cell r="G40">
            <v>1.25</v>
          </cell>
        </row>
        <row r="45">
          <cell r="G45">
            <v>100.69000000000001</v>
          </cell>
        </row>
      </sheetData>
      <sheetData sheetId="1">
        <row r="11">
          <cell r="E11">
            <v>10.629999999999999</v>
          </cell>
          <cell r="F11">
            <v>33.31</v>
          </cell>
          <cell r="G11">
            <v>24.939999999999998</v>
          </cell>
          <cell r="I11">
            <v>134.52276975361087</v>
          </cell>
        </row>
      </sheetData>
      <sheetData sheetId="2"/>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:-LAYING OF PAVER BLOK AT JAI PRAKASH NAGAR, SARNA ASTHAL, MAHILA VIKAS SAMITEE UNDER WARD NO.29</v>
          </cell>
        </row>
        <row r="4">
          <cell r="A4">
            <v>1</v>
          </cell>
          <cell r="B4" t="str">
            <v>Labour for clearning the work site before and after work etc.</v>
          </cell>
          <cell r="G4">
            <v>8</v>
          </cell>
          <cell r="I4">
            <v>326.85000000000002</v>
          </cell>
        </row>
        <row r="5">
          <cell r="A5" t="str">
            <v>2       5.1.1.+ 5.1.2</v>
          </cell>
          <cell r="B5"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v>
          </cell>
        </row>
        <row r="11">
          <cell r="G11">
            <v>98.74</v>
          </cell>
          <cell r="I11">
            <v>139.58000000000001</v>
          </cell>
        </row>
        <row r="12">
          <cell r="A12" t="str">
            <v>3.       16.91.2   DSR</v>
          </cell>
        </row>
        <row r="18">
          <cell r="G18">
            <v>486.06</v>
          </cell>
        </row>
        <row r="19">
          <cell r="A19" t="str">
            <v>4           5.3.1.1</v>
          </cell>
          <cell r="B19" t="str">
            <v xml:space="preserve">Providing and laying in position concrete of specified grade excluding the cost of centering and shuttering- All work upto plinth level :  1:1½:3 (1 cemet : 1½ coarse sand (zone-iii) : 3 graded stone aggregate 20mm nominal size )  </v>
          </cell>
        </row>
        <row r="25">
          <cell r="G25">
            <v>1.95</v>
          </cell>
        </row>
        <row r="27">
          <cell r="G27">
            <v>0.84</v>
          </cell>
        </row>
        <row r="28">
          <cell r="G28">
            <v>1.68</v>
          </cell>
        </row>
        <row r="29">
          <cell r="G29">
            <v>98.74</v>
          </cell>
        </row>
      </sheetData>
      <sheetData sheetId="1"/>
      <sheetData sheetId="2"/>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efreshError="1">
        <row r="13">
          <cell r="B13" t="str">
            <v>Providing and laying factory made chamfered edge 80mm thick cement concrete paver block  of M-30 grade with approved colour design and pattern using in footpath ,parks ,lawns,drive ways or lighttraffic parking etc,of required strength thickness and size shape made by table vibratory method using PU mould ,laid in required coloure and pattern over 50mm thick compacted bed of sand ,compacting and proper embedding laying of interlocking  paver blocks into the sand bedding layer through vibratory compaction by using plate vibrator,filling the joints with sand cutting of paver blocks as per required size and pattern ,finishing and sweeing extra sand complete all as per direction of  E/I</v>
          </cell>
        </row>
        <row r="16">
          <cell r="I16">
            <v>877.72</v>
          </cell>
        </row>
        <row r="20">
          <cell r="I20">
            <v>4961.7299999999996</v>
          </cell>
        </row>
      </sheetData>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:-LAYING OF PAVER BLOK ROAD AND CONSTRUCTION  OF RCC DRAIN AT KURBAN GALI LANE, FROM LAKHAN VISHWAKARMA HOUSE TO MANIK VISHWAKARMA HOUSE UNDER WARD NO-29</v>
          </cell>
        </row>
        <row r="4">
          <cell r="A4">
            <v>1</v>
          </cell>
          <cell r="B4" t="str">
            <v>Labour for site clearence before and after the work etc.</v>
          </cell>
          <cell r="G4">
            <v>7</v>
          </cell>
          <cell r="I4">
            <v>326.85000000000002</v>
          </cell>
        </row>
        <row r="5">
          <cell r="A5" t="str">
            <v xml:space="preserve">    2         5.10.2</v>
          </cell>
          <cell r="B5" t="str">
            <v>Dismantling plain cement or lime concrete work including ………do…….complete as per specification and  direction of E/I.</v>
          </cell>
        </row>
        <row r="7">
          <cell r="G7">
            <v>3.55</v>
          </cell>
          <cell r="I7">
            <v>955.89</v>
          </cell>
        </row>
        <row r="8">
          <cell r="A8" t="str">
            <v>3       5.1.1.</v>
          </cell>
        </row>
        <row r="12">
          <cell r="G12">
            <v>31.9</v>
          </cell>
          <cell r="I12">
            <v>151.82</v>
          </cell>
        </row>
        <row r="13">
          <cell r="A13" t="str">
            <v>4.       16.91.2   DSR</v>
          </cell>
          <cell r="B13" t="str">
            <v>Providing and laying factory made chamfered edge 80mm thick cement concrete paver block  of M-30 grade with approved colour design and pattern using in footpath ,parks ,lawns,drive ways or lighttraffic parking etc,of required strength thickness and size shape made by table vibratory method using PU mould ,laid in required coloure and pattern over 50mm thick compacted bed of sand ,compacting and proper embedding laying of interlocking  paver blocks into the sand bedding layer through vibratory compaction by using plate vibrator,filling the joints with sand cutting of paver blocks as per required size and pattern ,finishing and sweeing extra sand complete all as per direction of  E/I</v>
          </cell>
        </row>
        <row r="16">
          <cell r="G16">
            <v>31.86</v>
          </cell>
          <cell r="I16">
            <v>877.72</v>
          </cell>
        </row>
        <row r="17">
          <cell r="A17" t="str">
            <v>5.     5.3.1.1</v>
          </cell>
          <cell r="B17" t="str">
            <v xml:space="preserve">Providing and laying in position cement concrete of specified grade excluding the cost of centering and shuttering- All work upto plinth level : 1:1½:3 (1 cemet : 1½ coarse sand (zone-iii) : 3 graded stone aggregate 20mm nominal size )  </v>
          </cell>
        </row>
        <row r="20">
          <cell r="G20">
            <v>1.39</v>
          </cell>
          <cell r="I20">
            <v>4961.7299999999996</v>
          </cell>
        </row>
        <row r="21">
          <cell r="A21" t="str">
            <v>6.           M-004</v>
          </cell>
          <cell r="B21" t="str">
            <v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ell>
        </row>
        <row r="24">
          <cell r="G24">
            <v>2.66</v>
          </cell>
          <cell r="I24">
            <v>481.67</v>
          </cell>
        </row>
        <row r="25">
          <cell r="A25" t="str">
            <v>7.       5.6.8 (C.I.W.)</v>
          </cell>
        </row>
        <row r="28">
          <cell r="G28">
            <v>4.47</v>
          </cell>
          <cell r="I28">
            <v>1756.4</v>
          </cell>
        </row>
        <row r="29">
          <cell r="A29" t="str">
            <v>8.                                    5.3.10</v>
          </cell>
          <cell r="B29" t="str">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ell>
        </row>
        <row r="33">
          <cell r="G33">
            <v>7.72</v>
          </cell>
          <cell r="I33">
            <v>6082.45</v>
          </cell>
        </row>
        <row r="34">
          <cell r="A34" t="str">
            <v>9                  5.3.11</v>
          </cell>
          <cell r="B34" t="str">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ell>
        </row>
        <row r="37">
          <cell r="G37">
            <v>5.32</v>
          </cell>
          <cell r="I37">
            <v>6308.87</v>
          </cell>
        </row>
        <row r="38">
          <cell r="A38">
            <v>10</v>
          </cell>
          <cell r="B38" t="str">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ell>
        </row>
        <row r="42">
          <cell r="G42">
            <v>0.49</v>
          </cell>
          <cell r="H42" t="str">
            <v>MT</v>
          </cell>
          <cell r="I42">
            <v>83314.02</v>
          </cell>
        </row>
        <row r="46">
          <cell r="G46">
            <v>0.6</v>
          </cell>
          <cell r="H46" t="str">
            <v>MT</v>
          </cell>
          <cell r="I46">
            <v>82096.539999999994</v>
          </cell>
        </row>
        <row r="47">
          <cell r="A47" t="str">
            <v>11                 5.3.17.1</v>
          </cell>
          <cell r="B47" t="str">
            <v>Centering and shuttering including strutting, propping etc. and removal of from for Foundations,footings, bases of columns, etc. for mass concrete.</v>
          </cell>
        </row>
        <row r="52">
          <cell r="G52">
            <v>104.55</v>
          </cell>
          <cell r="I52">
            <v>194.5</v>
          </cell>
        </row>
        <row r="53">
          <cell r="A53">
            <v>12</v>
          </cell>
        </row>
        <row r="54">
          <cell r="I54">
            <v>819.06</v>
          </cell>
        </row>
        <row r="55">
          <cell r="I55">
            <v>417.3</v>
          </cell>
        </row>
        <row r="56">
          <cell r="I56">
            <v>417.3</v>
          </cell>
        </row>
        <row r="57">
          <cell r="I57">
            <v>648.59</v>
          </cell>
        </row>
        <row r="58">
          <cell r="I58">
            <v>117.54</v>
          </cell>
        </row>
      </sheetData>
      <sheetData sheetId="1"/>
      <sheetData sheetId="2">
        <row r="7">
          <cell r="F7">
            <v>5.61</v>
          </cell>
          <cell r="G7">
            <v>2.66</v>
          </cell>
          <cell r="H7">
            <v>11.21</v>
          </cell>
          <cell r="I7">
            <v>4.47</v>
          </cell>
          <cell r="J7">
            <v>31.9</v>
          </cell>
        </row>
      </sheetData>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RCC DRAIN AT SHAHBAG FROM MAHAMUD SHAH HOUSE TO BABU HOUSE AND AHAMAD HOUSE TO EKRAM SHAH SHOP UNDER WARD NO-29</v>
          </cell>
        </row>
        <row r="4">
          <cell r="A4">
            <v>1</v>
          </cell>
          <cell r="B4" t="str">
            <v>Labour for site clearence before and after the work etc.</v>
          </cell>
          <cell r="G4">
            <v>3</v>
          </cell>
          <cell r="H4" t="str">
            <v>Nos.</v>
          </cell>
          <cell r="I4">
            <v>326.85000000000002</v>
          </cell>
        </row>
        <row r="5">
          <cell r="A5" t="str">
            <v>2       5.10.1</v>
          </cell>
          <cell r="B5" t="str">
            <v>Dismantling pucca brick or lime work including stacking serviceable materials in countable stacks within 15M.lead and disposal of unserviceable materials with all leads complete  as per direction of E/I</v>
          </cell>
        </row>
        <row r="8">
          <cell r="G8">
            <v>6.37</v>
          </cell>
          <cell r="I8">
            <v>541.66999999999996</v>
          </cell>
        </row>
        <row r="9">
          <cell r="A9" t="str">
            <v>3       5.10.2</v>
          </cell>
          <cell r="B9" t="str">
            <v>Dismantling  plain cement concrete or lime concrete work including stacking serviceable material in countable stacks withnn 15M.lead and disposal of unserviceable material with all lead completed as per direction of E/I.</v>
          </cell>
        </row>
        <row r="12">
          <cell r="G12">
            <v>1.06</v>
          </cell>
          <cell r="I12">
            <v>955.89</v>
          </cell>
        </row>
        <row r="13">
          <cell r="A13" t="str">
            <v>4       5.1.1.</v>
          </cell>
        </row>
        <row r="17">
          <cell r="G17">
            <v>30.37</v>
          </cell>
          <cell r="I17">
            <v>151.82</v>
          </cell>
        </row>
        <row r="18">
          <cell r="A18" t="str">
            <v>5.         5.1.10</v>
          </cell>
        </row>
        <row r="21">
          <cell r="G21">
            <v>3.54</v>
          </cell>
          <cell r="I21">
            <v>589.51</v>
          </cell>
        </row>
        <row r="22">
          <cell r="A22" t="str">
            <v>6.       5.6.8 (C.I.W.)</v>
          </cell>
        </row>
        <row r="25">
          <cell r="G25">
            <v>5.95</v>
          </cell>
          <cell r="I25">
            <v>1756.4</v>
          </cell>
        </row>
        <row r="26">
          <cell r="A26" t="str">
            <v>7.                                    5.3.10</v>
          </cell>
          <cell r="B26" t="str">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ell>
        </row>
        <row r="30">
          <cell r="G30">
            <v>17.7</v>
          </cell>
          <cell r="I30">
            <v>6082.45</v>
          </cell>
        </row>
        <row r="31">
          <cell r="A31" t="str">
            <v>8                  5.3.11</v>
          </cell>
          <cell r="B31" t="str">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ell>
        </row>
        <row r="34">
          <cell r="G34">
            <v>7.08</v>
          </cell>
          <cell r="I34">
            <v>6308.87</v>
          </cell>
        </row>
        <row r="35">
          <cell r="A35">
            <v>9</v>
          </cell>
          <cell r="B35" t="str">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ell>
        </row>
        <row r="39">
          <cell r="G39">
            <v>0.91</v>
          </cell>
          <cell r="H39" t="str">
            <v>MT</v>
          </cell>
          <cell r="I39">
            <v>83314.02</v>
          </cell>
        </row>
        <row r="43">
          <cell r="G43">
            <v>1.1200000000000001</v>
          </cell>
          <cell r="H43" t="str">
            <v>MT</v>
          </cell>
          <cell r="I43">
            <v>82096.539999999994</v>
          </cell>
        </row>
        <row r="44">
          <cell r="A44" t="str">
            <v>10                 5.3.17.1</v>
          </cell>
          <cell r="B44" t="str">
            <v>Centering and shuttering including strutting, propping etc. and removal of from for Foundations,footings, bases of columns, etc. for mass concrete.</v>
          </cell>
        </row>
        <row r="48">
          <cell r="G48">
            <v>185.87</v>
          </cell>
          <cell r="I48">
            <v>194.5</v>
          </cell>
        </row>
        <row r="49">
          <cell r="A49">
            <v>11</v>
          </cell>
        </row>
        <row r="50">
          <cell r="B50" t="str">
            <v>SAND (Kanchi River)-LEAD-47KM</v>
          </cell>
          <cell r="I50">
            <v>819.06</v>
          </cell>
        </row>
        <row r="51">
          <cell r="B51" t="str">
            <v>LOCAL SAND-LEAD-16KM</v>
          </cell>
          <cell r="I51">
            <v>357.78</v>
          </cell>
        </row>
        <row r="52">
          <cell r="B52" t="str">
            <v>STONE CHIPS-LEAD-20KM</v>
          </cell>
          <cell r="I52">
            <v>417.3</v>
          </cell>
        </row>
        <row r="53">
          <cell r="B53" t="str">
            <v>BOULDER-LEAD-34KM</v>
          </cell>
          <cell r="I53">
            <v>648.59</v>
          </cell>
        </row>
        <row r="54">
          <cell r="B54" t="str">
            <v>EARTH-LEAD-01KM</v>
          </cell>
          <cell r="I54">
            <v>117.54</v>
          </cell>
        </row>
      </sheetData>
      <sheetData sheetId="1"/>
      <sheetData sheetId="2">
        <row r="7">
          <cell r="F7">
            <v>10.66</v>
          </cell>
          <cell r="G7">
            <v>3.54</v>
          </cell>
          <cell r="H7">
            <v>21.31</v>
          </cell>
          <cell r="I7">
            <v>5.95</v>
          </cell>
          <cell r="J7">
            <v>30.37</v>
          </cell>
        </row>
      </sheetData>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RCC DRAIN AT IRGU ROAD, FROM MASZID TO TANVEER HOUSE UNDER WARD NO-29</v>
          </cell>
        </row>
        <row r="4">
          <cell r="A4">
            <v>1</v>
          </cell>
          <cell r="B4" t="str">
            <v>Labour for site clearence before and after the work etc.</v>
          </cell>
          <cell r="G4">
            <v>1</v>
          </cell>
          <cell r="H4" t="str">
            <v>No.</v>
          </cell>
          <cell r="I4">
            <v>326.85000000000002</v>
          </cell>
        </row>
        <row r="5">
          <cell r="A5" t="str">
            <v xml:space="preserve">    2         5.10.2</v>
          </cell>
          <cell r="B5" t="str">
            <v>Dismantling plain cement or lime concrete work including ………do…….complete as per specification and  direction of E/I.</v>
          </cell>
        </row>
        <row r="8">
          <cell r="G8">
            <v>1.06</v>
          </cell>
          <cell r="I8">
            <v>955.89</v>
          </cell>
        </row>
        <row r="9">
          <cell r="A9" t="str">
            <v>3       5.1.1.</v>
          </cell>
        </row>
        <row r="13">
          <cell r="G13">
            <v>23.63</v>
          </cell>
          <cell r="I13">
            <v>151.82</v>
          </cell>
        </row>
        <row r="14">
          <cell r="A14" t="str">
            <v>4.         5.1.10</v>
          </cell>
        </row>
        <row r="17">
          <cell r="G17">
            <v>1.95</v>
          </cell>
          <cell r="I17">
            <v>589.51</v>
          </cell>
        </row>
        <row r="18">
          <cell r="A18" t="str">
            <v>5.       5.6.8 (C.I.W.)</v>
          </cell>
        </row>
        <row r="21">
          <cell r="G21">
            <v>3.27</v>
          </cell>
          <cell r="I21">
            <v>1756.4</v>
          </cell>
        </row>
        <row r="22">
          <cell r="A22" t="str">
            <v>6.                                    5.3.10</v>
          </cell>
          <cell r="B22" t="str">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ell>
        </row>
        <row r="26">
          <cell r="G26">
            <v>8.57</v>
          </cell>
          <cell r="I26">
            <v>6082.45</v>
          </cell>
        </row>
        <row r="27">
          <cell r="A27" t="str">
            <v>7                  5.3.11</v>
          </cell>
          <cell r="B27" t="str">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ell>
        </row>
        <row r="30">
          <cell r="G30">
            <v>3.89</v>
          </cell>
          <cell r="I30">
            <v>6308.87</v>
          </cell>
        </row>
        <row r="31">
          <cell r="A31">
            <v>8</v>
          </cell>
          <cell r="B31" t="str">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ell>
        </row>
        <row r="35">
          <cell r="G35">
            <v>0.46</v>
          </cell>
          <cell r="H35" t="str">
            <v>MT</v>
          </cell>
          <cell r="I35">
            <v>83314.02</v>
          </cell>
        </row>
        <row r="39">
          <cell r="G39">
            <v>0.56000000000000005</v>
          </cell>
          <cell r="H39" t="str">
            <v>MT</v>
          </cell>
          <cell r="I39">
            <v>82096.539999999994</v>
          </cell>
        </row>
        <row r="40">
          <cell r="A40" t="str">
            <v>9                 5.3.17.1</v>
          </cell>
          <cell r="B40" t="str">
            <v>Centering and shuttering including strutting, propping etc. and removal of from for Foundations,footings, bases of columns, etc. for mass concrete.</v>
          </cell>
        </row>
        <row r="44">
          <cell r="G44">
            <v>40.89</v>
          </cell>
          <cell r="I44">
            <v>194.5</v>
          </cell>
        </row>
        <row r="45">
          <cell r="A45">
            <v>10</v>
          </cell>
        </row>
        <row r="46">
          <cell r="B46" t="str">
            <v>SAND (Kanchi River)-LEAD-47KM</v>
          </cell>
          <cell r="I46">
            <v>819.06</v>
          </cell>
        </row>
        <row r="47">
          <cell r="B47" t="str">
            <v>LOCAL SAND-LEAD-16KM</v>
          </cell>
          <cell r="I47">
            <v>357.78</v>
          </cell>
        </row>
        <row r="48">
          <cell r="B48" t="str">
            <v>STONE CHIPS-LEAD-20KM</v>
          </cell>
          <cell r="I48">
            <v>417.3</v>
          </cell>
        </row>
        <row r="49">
          <cell r="B49" t="str">
            <v>BOULDER-LEAD-34KM</v>
          </cell>
          <cell r="I49">
            <v>648.59</v>
          </cell>
        </row>
        <row r="50">
          <cell r="B50" t="str">
            <v>EARTH-LEAD-01KM</v>
          </cell>
          <cell r="I50">
            <v>117.54</v>
          </cell>
        </row>
      </sheetData>
      <sheetData sheetId="1"/>
      <sheetData sheetId="2">
        <row r="7">
          <cell r="F7">
            <v>5.36</v>
          </cell>
          <cell r="G7">
            <v>1.95</v>
          </cell>
          <cell r="H7">
            <v>10.72</v>
          </cell>
          <cell r="I7">
            <v>3.27</v>
          </cell>
          <cell r="J7">
            <v>23.63</v>
          </cell>
        </row>
      </sheetData>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8">
          <cell r="G8">
            <v>134.62</v>
          </cell>
        </row>
        <row r="13">
          <cell r="G13">
            <v>57.07</v>
          </cell>
        </row>
        <row r="18">
          <cell r="G18">
            <v>95.11</v>
          </cell>
        </row>
        <row r="22">
          <cell r="G22">
            <v>87.800000000000011</v>
          </cell>
        </row>
        <row r="27">
          <cell r="G27">
            <v>57.629999999999995</v>
          </cell>
        </row>
      </sheetData>
      <sheetData sheetId="1" refreshError="1">
        <row r="7">
          <cell r="E7">
            <v>57.07</v>
          </cell>
          <cell r="F7">
            <v>37.68</v>
          </cell>
          <cell r="G7">
            <v>75.36</v>
          </cell>
          <cell r="H7">
            <v>95.11</v>
          </cell>
          <cell r="I7">
            <v>134.62</v>
          </cell>
        </row>
      </sheetData>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ROAD AT ILAHI NAGAR FROM HOUSE OF RAJA JEE TO P.C.C MAIN ROAD UNDER WARD NO-35</v>
          </cell>
        </row>
        <row r="4">
          <cell r="A4">
            <v>1</v>
          </cell>
          <cell r="B4" t="str">
            <v>Labour for site clearence before and after the work etc.</v>
          </cell>
          <cell r="G4">
            <v>2</v>
          </cell>
          <cell r="I4">
            <v>326.85000000000002</v>
          </cell>
        </row>
        <row r="5">
          <cell r="A5" t="str">
            <v>2       5.1.1.</v>
          </cell>
        </row>
        <row r="8">
          <cell r="G8">
            <v>66.41</v>
          </cell>
          <cell r="I8">
            <v>151.82</v>
          </cell>
        </row>
        <row r="9">
          <cell r="A9" t="str">
            <v>3.           M-004</v>
          </cell>
        </row>
        <row r="12">
          <cell r="G12">
            <v>24.78</v>
          </cell>
          <cell r="I12">
            <v>347.85</v>
          </cell>
        </row>
        <row r="13">
          <cell r="A13" t="str">
            <v>4.       5.6.8 (C.I.W.)</v>
          </cell>
        </row>
        <row r="16">
          <cell r="G16">
            <v>41.63</v>
          </cell>
          <cell r="I16">
            <v>1756.4</v>
          </cell>
        </row>
        <row r="17">
          <cell r="A17" t="str">
            <v>5.     5.3.1.1</v>
          </cell>
        </row>
        <row r="20">
          <cell r="G20">
            <v>49.56</v>
          </cell>
          <cell r="I20">
            <v>4961.7299999999996</v>
          </cell>
        </row>
        <row r="21">
          <cell r="A21" t="str">
            <v>6               5.3.17.1</v>
          </cell>
        </row>
        <row r="24">
          <cell r="G24">
            <v>32.53</v>
          </cell>
          <cell r="I24">
            <v>194.5</v>
          </cell>
        </row>
        <row r="25">
          <cell r="A25">
            <v>7</v>
          </cell>
        </row>
        <row r="26">
          <cell r="B26" t="str">
            <v>SAND-LEAD-49KM</v>
          </cell>
          <cell r="I26">
            <v>848.82</v>
          </cell>
        </row>
        <row r="27">
          <cell r="B27" t="str">
            <v>STONE DUST-LEAD-22KM</v>
          </cell>
          <cell r="I27">
            <v>477.38</v>
          </cell>
        </row>
        <row r="28">
          <cell r="B28" t="str">
            <v>STONE CHIPS-LEAD-22KM</v>
          </cell>
          <cell r="I28">
            <v>477.38</v>
          </cell>
        </row>
        <row r="29">
          <cell r="B29" t="str">
            <v>BOULDER-LEAD-36KM</v>
          </cell>
          <cell r="I29">
            <v>679.66</v>
          </cell>
        </row>
        <row r="30">
          <cell r="B30" t="str">
            <v>EARTH-LEAD-01km</v>
          </cell>
          <cell r="I30">
            <v>117.54</v>
          </cell>
        </row>
      </sheetData>
      <sheetData sheetId="1"/>
      <sheetData sheetId="2">
        <row r="7">
          <cell r="F7">
            <v>21.31</v>
          </cell>
          <cell r="G7">
            <v>24.78</v>
          </cell>
          <cell r="H7">
            <v>42.62</v>
          </cell>
          <cell r="I7">
            <v>41.63</v>
          </cell>
          <cell r="J7">
            <v>66.41</v>
          </cell>
        </row>
      </sheetData>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ROAD AT( A) ILHI NAGAR HOUSE F MUSKIM JEE TO EMMAM BARA  (B)  HOUSE OF ABHALEA JEE TO HOUSE OF RAWANI JEE UNDER WARD NO-35</v>
          </cell>
        </row>
        <row r="4">
          <cell r="A4">
            <v>1</v>
          </cell>
          <cell r="B4" t="str">
            <v>Labour for site clearence before and after the work etc.</v>
          </cell>
          <cell r="G4">
            <v>4</v>
          </cell>
          <cell r="I4">
            <v>326.85000000000002</v>
          </cell>
        </row>
        <row r="5">
          <cell r="A5" t="str">
            <v>2       5.1.1.</v>
          </cell>
        </row>
        <row r="8">
          <cell r="G8">
            <v>75.900000000000006</v>
          </cell>
          <cell r="I8">
            <v>151.82</v>
          </cell>
        </row>
        <row r="9">
          <cell r="A9" t="str">
            <v>3.           M-004</v>
          </cell>
        </row>
        <row r="12">
          <cell r="G12">
            <v>28.32</v>
          </cell>
          <cell r="I12">
            <v>347.85</v>
          </cell>
        </row>
        <row r="13">
          <cell r="A13" t="str">
            <v>4.       5.6.8 (C.I.W.)</v>
          </cell>
        </row>
        <row r="16">
          <cell r="G16">
            <v>47.58</v>
          </cell>
          <cell r="I16">
            <v>1756.4</v>
          </cell>
        </row>
        <row r="17">
          <cell r="A17" t="str">
            <v>5.     5.3.1.1</v>
          </cell>
        </row>
        <row r="20">
          <cell r="G20">
            <v>56.64</v>
          </cell>
          <cell r="I20">
            <v>4961.7299999999996</v>
          </cell>
        </row>
        <row r="21">
          <cell r="A21" t="str">
            <v>6               5.3.17.1</v>
          </cell>
        </row>
        <row r="24">
          <cell r="G24">
            <v>37.17</v>
          </cell>
          <cell r="I24">
            <v>194.5</v>
          </cell>
        </row>
        <row r="25">
          <cell r="A25">
            <v>7</v>
          </cell>
        </row>
        <row r="26">
          <cell r="B26" t="str">
            <v>SAND-LEAD-49KM</v>
          </cell>
          <cell r="I26">
            <v>848.82</v>
          </cell>
        </row>
        <row r="27">
          <cell r="B27" t="str">
            <v>STONE DUST-LEAD-22KM</v>
          </cell>
          <cell r="I27">
            <v>477.38</v>
          </cell>
        </row>
        <row r="28">
          <cell r="B28" t="str">
            <v>STONE CHIPS-LEAD-22KM</v>
          </cell>
          <cell r="I28">
            <v>477.38</v>
          </cell>
        </row>
        <row r="29">
          <cell r="B29" t="str">
            <v>BOULDER-LEAD-36KM</v>
          </cell>
          <cell r="I29">
            <v>679.66</v>
          </cell>
        </row>
        <row r="30">
          <cell r="B30" t="str">
            <v>EARTH-LEAD-01km</v>
          </cell>
          <cell r="I30">
            <v>117.54</v>
          </cell>
        </row>
      </sheetData>
      <sheetData sheetId="1"/>
      <sheetData sheetId="2">
        <row r="7">
          <cell r="F7">
            <v>24.36</v>
          </cell>
          <cell r="G7">
            <v>28.32</v>
          </cell>
          <cell r="H7">
            <v>48.71</v>
          </cell>
          <cell r="I7">
            <v>47.58</v>
          </cell>
          <cell r="J7">
            <v>75.900000000000006</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ROAD AT NEW ARIA PIPER TOLI HOSE OF BIMAL TOPPO TO HOUSE OF BIJENDAR BARMAN UNDER WARD NO-35</v>
          </cell>
        </row>
        <row r="4">
          <cell r="A4">
            <v>1</v>
          </cell>
          <cell r="B4" t="str">
            <v>Labour for site clearence before and after the work etc.</v>
          </cell>
          <cell r="G4">
            <v>3</v>
          </cell>
          <cell r="I4">
            <v>326.85000000000002</v>
          </cell>
        </row>
        <row r="5">
          <cell r="A5" t="str">
            <v>2       5.1.1.</v>
          </cell>
        </row>
        <row r="8">
          <cell r="G8">
            <v>47.44</v>
          </cell>
          <cell r="I8">
            <v>151.82</v>
          </cell>
        </row>
        <row r="9">
          <cell r="A9" t="str">
            <v>3.           M-004</v>
          </cell>
        </row>
        <row r="12">
          <cell r="G12">
            <v>17.7</v>
          </cell>
          <cell r="I12">
            <v>347.85</v>
          </cell>
        </row>
        <row r="13">
          <cell r="A13" t="str">
            <v>4.       5.6.8 (C.I.W.)</v>
          </cell>
        </row>
        <row r="16">
          <cell r="G16">
            <v>29.74</v>
          </cell>
          <cell r="I16">
            <v>1756.4</v>
          </cell>
        </row>
        <row r="17">
          <cell r="A17" t="str">
            <v>5.     5.3.1.1</v>
          </cell>
        </row>
        <row r="20">
          <cell r="G20">
            <v>35.4</v>
          </cell>
          <cell r="I20">
            <v>4961.7299999999996</v>
          </cell>
        </row>
        <row r="21">
          <cell r="A21" t="str">
            <v>6               5.3.17.1</v>
          </cell>
        </row>
        <row r="24">
          <cell r="G24">
            <v>23.23</v>
          </cell>
          <cell r="I24">
            <v>194.5</v>
          </cell>
        </row>
        <row r="25">
          <cell r="A25">
            <v>7</v>
          </cell>
        </row>
        <row r="26">
          <cell r="B26" t="str">
            <v>SAND-LEAD-49KM</v>
          </cell>
          <cell r="I26">
            <v>848.82</v>
          </cell>
        </row>
        <row r="27">
          <cell r="B27" t="str">
            <v>STONE DUST-LEAD-22KM</v>
          </cell>
          <cell r="I27">
            <v>477.38</v>
          </cell>
        </row>
        <row r="28">
          <cell r="B28" t="str">
            <v>STONE CHIPS-LEAD-22KM</v>
          </cell>
          <cell r="I28">
            <v>477.38</v>
          </cell>
        </row>
        <row r="29">
          <cell r="B29" t="str">
            <v>BOULDER-LEAD-36KM</v>
          </cell>
          <cell r="I29">
            <v>679.66</v>
          </cell>
        </row>
        <row r="30">
          <cell r="B30" t="str">
            <v>EARTH-LEAD-01km</v>
          </cell>
          <cell r="I30">
            <v>117.54</v>
          </cell>
        </row>
      </sheetData>
      <sheetData sheetId="1"/>
      <sheetData sheetId="2">
        <row r="7">
          <cell r="F7">
            <v>15.22</v>
          </cell>
          <cell r="G7">
            <v>17.7</v>
          </cell>
          <cell r="H7">
            <v>30.44</v>
          </cell>
          <cell r="I7">
            <v>29.74</v>
          </cell>
          <cell r="J7">
            <v>47.44</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Gadigaon Kuwar €runda"/>
      <sheetName val="BOQ"/>
    </sheetNames>
    <sheetDataSet>
      <sheetData sheetId="0">
        <row r="3">
          <cell r="A3" t="str">
            <v>Name of Work :- Construction of PCC Road at Gadigaon,Pahantoli from house of Kunwar Runda to house of Surendra Kujur under ward no-07</v>
          </cell>
        </row>
        <row r="9">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I12">
            <v>347.85</v>
          </cell>
        </row>
        <row r="13">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I16">
            <v>1756.4</v>
          </cell>
        </row>
        <row r="17">
          <cell r="B17" t="str">
            <v>Providing and laying in position cement concrete of specified grade excluding the cost of centering and shuttering - All work up to plinth level1:1.5:3 (1 Cement : 1.5 coarse sand zone(III): 3 graded stone aggregate 20mm nominal size)</v>
          </cell>
        </row>
        <row r="26">
          <cell r="I26">
            <v>848.82</v>
          </cell>
        </row>
        <row r="27">
          <cell r="I27">
            <v>447.06</v>
          </cell>
        </row>
        <row r="28">
          <cell r="I28">
            <v>679.66</v>
          </cell>
        </row>
        <row r="29">
          <cell r="I29">
            <v>447.06</v>
          </cell>
        </row>
        <row r="30">
          <cell r="I30">
            <v>117.54</v>
          </cell>
        </row>
      </sheetData>
      <sheetData sheetId="1"/>
      <sheetData sheetId="2"/>
      <sheetData sheetId="3"/>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ROAD AT BAZRA JHIRGI TOLI FROM AKHARA TO GOGA ORAON HOUSE UNDER WARD NO-35</v>
          </cell>
        </row>
        <row r="4">
          <cell r="A4">
            <v>1</v>
          </cell>
          <cell r="B4" t="str">
            <v>Labour for site clearence before and after the work etc.</v>
          </cell>
          <cell r="G4">
            <v>4</v>
          </cell>
          <cell r="I4">
            <v>326.85000000000002</v>
          </cell>
        </row>
        <row r="5">
          <cell r="A5" t="str">
            <v>2       5.1.1.</v>
          </cell>
        </row>
        <row r="8">
          <cell r="G8">
            <v>75.900000000000006</v>
          </cell>
          <cell r="I8">
            <v>151.82</v>
          </cell>
        </row>
        <row r="9">
          <cell r="A9" t="str">
            <v>3.           M-004</v>
          </cell>
        </row>
        <row r="12">
          <cell r="G12">
            <v>28.32</v>
          </cell>
          <cell r="I12">
            <v>347.85</v>
          </cell>
        </row>
        <row r="13">
          <cell r="A13" t="str">
            <v>4.       5.6.8 (C.I.W.)</v>
          </cell>
        </row>
        <row r="16">
          <cell r="G16">
            <v>47.58</v>
          </cell>
          <cell r="I16">
            <v>1756.4</v>
          </cell>
        </row>
        <row r="17">
          <cell r="A17" t="str">
            <v>5.     5.3.1.1</v>
          </cell>
        </row>
        <row r="20">
          <cell r="G20">
            <v>56.64</v>
          </cell>
          <cell r="I20">
            <v>4961.7299999999996</v>
          </cell>
        </row>
        <row r="21">
          <cell r="A21" t="str">
            <v>6               5.3.17.1</v>
          </cell>
        </row>
        <row r="24">
          <cell r="G24">
            <v>37.17</v>
          </cell>
          <cell r="I24">
            <v>194.5</v>
          </cell>
        </row>
        <row r="25">
          <cell r="A25">
            <v>7</v>
          </cell>
        </row>
        <row r="26">
          <cell r="B26" t="str">
            <v>SAND-LEAD-49KM</v>
          </cell>
          <cell r="I26">
            <v>848.82</v>
          </cell>
        </row>
        <row r="27">
          <cell r="B27" t="str">
            <v>STONE DUST-LEAD-22KM</v>
          </cell>
          <cell r="I27">
            <v>477.38</v>
          </cell>
        </row>
        <row r="28">
          <cell r="B28" t="str">
            <v>STONE CHIPS-LEAD-22KM</v>
          </cell>
          <cell r="I28">
            <v>477.38</v>
          </cell>
        </row>
        <row r="29">
          <cell r="B29" t="str">
            <v>BOULDER-LEAD-36KM</v>
          </cell>
          <cell r="I29">
            <v>679.66</v>
          </cell>
        </row>
        <row r="30">
          <cell r="B30" t="str">
            <v>EARTH-LEAD-01km</v>
          </cell>
          <cell r="I30">
            <v>117.54</v>
          </cell>
        </row>
      </sheetData>
      <sheetData sheetId="1"/>
      <sheetData sheetId="2">
        <row r="7">
          <cell r="F7">
            <v>24.36</v>
          </cell>
          <cell r="G7">
            <v>28.32</v>
          </cell>
          <cell r="H7">
            <v>48.71</v>
          </cell>
          <cell r="I7">
            <v>47.58</v>
          </cell>
          <cell r="J7">
            <v>75.900000000000006</v>
          </cell>
        </row>
      </sheetData>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DETAILED ESTIMATE"/>
      <sheetName val="MATERIAL STATEMENT"/>
      <sheetName val="BILL OF QUANTITY"/>
    </sheetNames>
    <sheetDataSet>
      <sheetData sheetId="0">
        <row r="8">
          <cell r="G8">
            <v>36.193712829226847</v>
          </cell>
          <cell r="I8">
            <v>151.82</v>
          </cell>
        </row>
        <row r="12">
          <cell r="G12">
            <v>158.36431226765799</v>
          </cell>
        </row>
        <row r="16">
          <cell r="G16">
            <v>10.28</v>
          </cell>
          <cell r="I16">
            <v>4961.7299999999996</v>
          </cell>
        </row>
        <row r="18">
          <cell r="B18" t="str">
            <v>SAND-LEAD-42 KM</v>
          </cell>
          <cell r="C18">
            <v>0.43</v>
          </cell>
          <cell r="I18">
            <v>744.66</v>
          </cell>
        </row>
        <row r="19">
          <cell r="B19" t="str">
            <v>CHIPS-LEAD-15KM</v>
          </cell>
          <cell r="C19">
            <v>8.8407999999999998</v>
          </cell>
          <cell r="I19">
            <v>342.9</v>
          </cell>
        </row>
        <row r="20">
          <cell r="B20" t="str">
            <v>EARTH-LEAD-1km</v>
          </cell>
          <cell r="C20">
            <v>36.193712829226847</v>
          </cell>
          <cell r="I20">
            <v>117.54</v>
          </cell>
        </row>
      </sheetData>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ow r="2">
          <cell r="A2" t="str">
            <v>Name of Work :-CONSTRUCTION OF PCC ROAD At Bank Mode Sec II UNDER WARD NO-41</v>
          </cell>
        </row>
        <row r="4">
          <cell r="A4">
            <v>1</v>
          </cell>
          <cell r="B4" t="str">
            <v>Providing Mandays for site clearence before and after the work etc.</v>
          </cell>
          <cell r="G4">
            <v>6</v>
          </cell>
          <cell r="I4">
            <v>330.4</v>
          </cell>
        </row>
        <row r="5">
          <cell r="A5" t="str">
            <v>2       5.1.1.+ 5.1.2</v>
          </cell>
          <cell r="B5" t="str">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ell>
        </row>
        <row r="8">
          <cell r="G8">
            <v>105.78</v>
          </cell>
        </row>
        <row r="9">
          <cell r="A9" t="str">
            <v>3.         5.1.10</v>
          </cell>
          <cell r="B9" t="str">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ell>
        </row>
        <row r="12">
          <cell r="G12">
            <v>31.86</v>
          </cell>
        </row>
        <row r="13">
          <cell r="A13" t="str">
            <v>4.       5.6.8</v>
          </cell>
          <cell r="B13" t="str">
            <v>Supplying and laying (properly as per design and drawing )rip-rap with good quality of boulders duly packed including the cost of materials,royalty all taxes etc.but excluding the cost of carriage, all complete as per specification and direction of E/I.</v>
          </cell>
        </row>
        <row r="16">
          <cell r="G16">
            <v>53.53</v>
          </cell>
        </row>
        <row r="17">
          <cell r="A17" t="str">
            <v>5.     5.3.1.1</v>
          </cell>
          <cell r="B17" t="str">
            <v xml:space="preserve">Providing and laying in position concrete of specified grade excluding the cost of centering and shuttering- All work upto plinth level : 1:1½:3 (1 cemet : 1½ coarse sand (zone-iii) : 3 graded stone aggregate 20mm nominal size )  </v>
          </cell>
        </row>
        <row r="20">
          <cell r="G20">
            <v>63.72</v>
          </cell>
        </row>
        <row r="21">
          <cell r="A21" t="str">
            <v>6               5.3.17.1</v>
          </cell>
          <cell r="B21" t="str">
            <v>Centering and shuttering including strutting, propping etc. and removal of from for Foundations,footings, bases of columns, etc. for mass concrete.</v>
          </cell>
        </row>
        <row r="24">
          <cell r="G24">
            <v>41.82</v>
          </cell>
          <cell r="I24">
            <v>194.5</v>
          </cell>
          <cell r="J24">
            <v>8133.99</v>
          </cell>
        </row>
        <row r="25">
          <cell r="A25">
            <v>7</v>
          </cell>
        </row>
        <row r="26">
          <cell r="I26">
            <v>744.66</v>
          </cell>
        </row>
        <row r="27">
          <cell r="I27">
            <v>387.54</v>
          </cell>
        </row>
        <row r="28">
          <cell r="I28">
            <v>342.9</v>
          </cell>
        </row>
        <row r="29">
          <cell r="I29">
            <v>570.94000000000005</v>
          </cell>
        </row>
        <row r="30">
          <cell r="I30">
            <v>117.54</v>
          </cell>
        </row>
      </sheetData>
      <sheetData sheetId="1" refreshError="1"/>
      <sheetData sheetId="2"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ESTIMATE"/>
      <sheetName val="BOQ"/>
      <sheetName val="MATERIAL "/>
    </sheetNames>
    <sheetDataSet>
      <sheetData sheetId="0" refreshError="1">
        <row r="2">
          <cell r="A2" t="str">
            <v>Name of Work :-CONSTRUCTION OF RCC DRAIN AT KETARI BAGAN  ROAD-7, FROM PRABHAT KUMAR HOUSE AND ROAD NO-6, GAUTAM DEV HOUSE TO GHANA ORAON HOUSE UNDER WARD NO-13</v>
          </cell>
        </row>
        <row r="33">
          <cell r="I33">
            <v>6308.87</v>
          </cell>
        </row>
      </sheetData>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rain"/>
      <sheetName val="Drain Mat"/>
      <sheetName val="Tiril sarna Toli Boli Kotcha"/>
      <sheetName val="Sheet3"/>
    </sheetNames>
    <sheetDataSet>
      <sheetData sheetId="0" refreshError="1">
        <row r="3">
          <cell r="A3" t="str">
            <v>Name of Work :-Construction of RCC Drain at Tiril Sarnatoli,Mahabir Nagar Boli Kotcha from Sadhu Sharan Mahto house to Sakuntala Devi house under ward no-08</v>
          </cell>
        </row>
        <row r="5">
          <cell r="A5" t="str">
            <v>1            5.10.2</v>
          </cell>
          <cell r="B5" t="str">
            <v xml:space="preserve">Dismantling plain cement or lime concrete work including stacking serviceable materials in countable stacks within 15M.lead and disposal of unserviceable materials with all leads complete  as per direction of E/I.              </v>
          </cell>
        </row>
        <row r="8">
          <cell r="G8">
            <v>1.42</v>
          </cell>
          <cell r="I8">
            <v>955.89</v>
          </cell>
        </row>
        <row r="9">
          <cell r="A9" t="str">
            <v>2            5.1.1</v>
          </cell>
          <cell r="B9"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13">
          <cell r="G13">
            <v>57.26</v>
          </cell>
          <cell r="I13">
            <v>151.82</v>
          </cell>
        </row>
        <row r="14">
          <cell r="A14" t="str">
            <v>34/M004</v>
          </cell>
        </row>
        <row r="18">
          <cell r="G18">
            <v>3.55</v>
          </cell>
        </row>
        <row r="19">
          <cell r="A19" t="str">
            <v>45.6.8</v>
          </cell>
        </row>
        <row r="23">
          <cell r="G23">
            <v>9.09</v>
          </cell>
        </row>
        <row r="24">
          <cell r="A24" t="str">
            <v>55.3.10</v>
          </cell>
        </row>
        <row r="30">
          <cell r="G30">
            <v>24.09</v>
          </cell>
          <cell r="I30">
            <v>6082.45</v>
          </cell>
        </row>
        <row r="31">
          <cell r="A31" t="str">
            <v>6 5.3.11</v>
          </cell>
          <cell r="B31" t="str">
            <v>Renforced cement conrete work in beams, suspended floors, having slopeup to 15' landing, balconies, shelves, chajjas, lintels, bands, plain windowsill ---------do----do-------E/I1:1.5:3 (1 Cement : 1.5 coarse sand zone(III): 3 graded stone aggregate 20mm nominal size)</v>
          </cell>
        </row>
        <row r="35">
          <cell r="G35">
            <v>11.28</v>
          </cell>
          <cell r="I35">
            <v>6308.87</v>
          </cell>
        </row>
        <row r="36">
          <cell r="A36">
            <v>7</v>
          </cell>
          <cell r="B36" t="str">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ell>
        </row>
        <row r="41">
          <cell r="A41" t="str">
            <v>(A)5.5.4</v>
          </cell>
          <cell r="B41" t="str">
            <v>08mm dia 40%</v>
          </cell>
          <cell r="G41">
            <v>1.1240000000000001</v>
          </cell>
          <cell r="H41" t="str">
            <v>M.T.</v>
          </cell>
          <cell r="I41">
            <v>83314.02</v>
          </cell>
        </row>
        <row r="42">
          <cell r="A42" t="str">
            <v>(B)5.5.5(a)</v>
          </cell>
          <cell r="B42" t="str">
            <v>10mm dia 60%</v>
          </cell>
          <cell r="G42">
            <v>1.6859999999999999</v>
          </cell>
          <cell r="I42">
            <v>82096.539999999994</v>
          </cell>
        </row>
        <row r="44">
          <cell r="A44" t="str">
            <v>85.3.17.1</v>
          </cell>
          <cell r="B44" t="str">
            <v>Centering and Shuttering including strutting, propping etc and removal of from for   Foundation , footing , bases of columns etc for mass concrete.</v>
          </cell>
        </row>
        <row r="50">
          <cell r="G50">
            <v>250.94</v>
          </cell>
          <cell r="H50" t="str">
            <v>m2</v>
          </cell>
          <cell r="I50">
            <v>194.5</v>
          </cell>
        </row>
        <row r="52">
          <cell r="G52">
            <v>15.209999999999999</v>
          </cell>
        </row>
        <row r="53">
          <cell r="B53" t="str">
            <v>Stone Dust (Lead 22 KM)</v>
          </cell>
          <cell r="G53">
            <v>3.55</v>
          </cell>
        </row>
        <row r="54">
          <cell r="G54">
            <v>9.09</v>
          </cell>
        </row>
        <row r="55">
          <cell r="G55">
            <v>30.419999999999998</v>
          </cell>
        </row>
        <row r="56">
          <cell r="G56">
            <v>57.26</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rain"/>
      <sheetName val="Drain Mat"/>
      <sheetName val="Suresh Singh"/>
      <sheetName val="Sheet3"/>
    </sheetNames>
    <sheetDataSet>
      <sheetData sheetId="0" refreshError="1">
        <row r="3">
          <cell r="A3" t="str">
            <v>Name of Work :-Construction of RCC Drain at Adarsh nagar from house of Suresh Singh to house of Baijnath Paswan under ward no-08</v>
          </cell>
        </row>
        <row r="5">
          <cell r="A5" t="str">
            <v>1            5.10.2</v>
          </cell>
          <cell r="B5" t="str">
            <v xml:space="preserve">Dismantling plain cement or lime concrete work including stacking serviceable materials in countable stacks within 15M.lead and disposal of unserviceable materials with all leads complete  as per direction of E/I.              </v>
          </cell>
        </row>
        <row r="8">
          <cell r="G8">
            <v>0.6</v>
          </cell>
          <cell r="I8">
            <v>955.89</v>
          </cell>
        </row>
        <row r="9">
          <cell r="A9" t="str">
            <v>2            5.1.1</v>
          </cell>
          <cell r="B9"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13">
          <cell r="G13">
            <v>23.04</v>
          </cell>
          <cell r="I13">
            <v>151.82</v>
          </cell>
        </row>
        <row r="14">
          <cell r="A14" t="str">
            <v>34/M004</v>
          </cell>
        </row>
        <row r="18">
          <cell r="G18">
            <v>1.43</v>
          </cell>
        </row>
        <row r="19">
          <cell r="A19" t="str">
            <v>45.6.8</v>
          </cell>
        </row>
        <row r="23">
          <cell r="G23">
            <v>3.68</v>
          </cell>
        </row>
        <row r="24">
          <cell r="A24" t="str">
            <v>55.3.10</v>
          </cell>
        </row>
        <row r="30">
          <cell r="G30">
            <v>9.89</v>
          </cell>
          <cell r="I30">
            <v>6082.45</v>
          </cell>
        </row>
        <row r="31">
          <cell r="A31" t="str">
            <v>6 5.3.11</v>
          </cell>
          <cell r="B31" t="str">
            <v>Renforced cement conrete work in beams, suspended floors, having slopeup to 15' landing, balconies, shelves, chajjas, lintels, bands, plain windowsill ---------do----do-------E/I1:1.5:3 (1 Cement : 1.5 coarse sand zone(III): 3 graded stone aggregate 20mm nominal size)</v>
          </cell>
        </row>
        <row r="35">
          <cell r="G35">
            <v>4.76</v>
          </cell>
          <cell r="I35">
            <v>6308.87</v>
          </cell>
        </row>
        <row r="36">
          <cell r="A36">
            <v>7</v>
          </cell>
          <cell r="B36" t="str">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ell>
        </row>
        <row r="41">
          <cell r="A41" t="str">
            <v>(A)5.5.4</v>
          </cell>
          <cell r="B41" t="str">
            <v>08mm dia 40%</v>
          </cell>
          <cell r="G41">
            <v>0.46600000000000003</v>
          </cell>
          <cell r="H41" t="str">
            <v>M.T.</v>
          </cell>
          <cell r="I41">
            <v>83314.02</v>
          </cell>
        </row>
        <row r="42">
          <cell r="A42" t="str">
            <v>(B)5.5.5(a)</v>
          </cell>
          <cell r="B42" t="str">
            <v>10mm dia 60%</v>
          </cell>
          <cell r="G42">
            <v>0.69799999999999995</v>
          </cell>
          <cell r="I42">
            <v>82096.539999999994</v>
          </cell>
        </row>
        <row r="44">
          <cell r="A44" t="str">
            <v>85.3.17.1</v>
          </cell>
          <cell r="B44" t="str">
            <v>Centering and Shuttering including strutting, propping etc and removal of from for   Foundation , footing , bases of columns etc for mass concrete.</v>
          </cell>
        </row>
        <row r="50">
          <cell r="G50">
            <v>98.22</v>
          </cell>
          <cell r="H50" t="str">
            <v>m2</v>
          </cell>
          <cell r="I50">
            <v>194.5</v>
          </cell>
        </row>
        <row r="52">
          <cell r="G52">
            <v>6.3</v>
          </cell>
        </row>
        <row r="53">
          <cell r="B53" t="str">
            <v>Stone Dust (Lead 22 KM)</v>
          </cell>
          <cell r="G53">
            <v>1.43</v>
          </cell>
        </row>
        <row r="54">
          <cell r="G54">
            <v>3.68</v>
          </cell>
        </row>
        <row r="55">
          <cell r="G55">
            <v>12.6</v>
          </cell>
        </row>
        <row r="56">
          <cell r="G56">
            <v>23.04</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efreshError="1"/>
      <sheetData sheetId="1" refreshError="1">
        <row r="8">
          <cell r="F8">
            <v>6.372132540356839</v>
          </cell>
          <cell r="G8">
            <v>13.700084961767205</v>
          </cell>
          <cell r="H8">
            <v>27.40016992353441</v>
          </cell>
          <cell r="J8">
            <v>10.705182667799489</v>
          </cell>
          <cell r="K8">
            <v>68.054375531011047</v>
          </cell>
        </row>
      </sheetData>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efreshError="1"/>
      <sheetData sheetId="1" refreshError="1">
        <row r="9">
          <cell r="F9">
            <v>3.1152647975077881</v>
          </cell>
          <cell r="G9">
            <v>25.451713395638627</v>
          </cell>
          <cell r="H9">
            <v>50.903426791277255</v>
          </cell>
          <cell r="J9">
            <v>5.2336448598130829</v>
          </cell>
          <cell r="K9">
            <v>0.12744265080713679</v>
          </cell>
        </row>
      </sheetData>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BOQ"/>
      <sheetName val="Sheet2"/>
      <sheetName val="Sheet3"/>
      <sheetName val="Khorha Toli Lane-01"/>
    </sheetNames>
    <sheetDataSet>
      <sheetData sheetId="0" refreshError="1"/>
      <sheetData sheetId="1" refreshError="1"/>
      <sheetData sheetId="2" refreshError="1">
        <row r="9">
          <cell r="E9">
            <v>1.5</v>
          </cell>
          <cell r="F9">
            <v>4.5199999999999996</v>
          </cell>
          <cell r="G9">
            <v>9.0300000000000011</v>
          </cell>
          <cell r="H9">
            <v>2.46</v>
          </cell>
          <cell r="I9">
            <v>13.03</v>
          </cell>
        </row>
      </sheetData>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Estimate"/>
      <sheetName val="Material"/>
      <sheetName val="Sheet3"/>
    </sheetNames>
    <sheetDataSet>
      <sheetData sheetId="0">
        <row r="6">
          <cell r="A6" t="str">
            <v xml:space="preserve">2.     RCD  5.02 (iii) </v>
          </cell>
        </row>
        <row r="11">
          <cell r="A11" t="str">
            <v xml:space="preserve">3.   RCD 5.03 (i) </v>
          </cell>
        </row>
        <row r="18">
          <cell r="A18" t="str">
            <v xml:space="preserve">4.    RCD  5.05 (A) </v>
          </cell>
        </row>
        <row r="23">
          <cell r="A23" t="str">
            <v xml:space="preserve">5.   RCD  8.13 </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49"/>
  <sheetViews>
    <sheetView zoomScaleSheetLayoutView="100" workbookViewId="0">
      <selection activeCell="B6" sqref="B6"/>
    </sheetView>
  </sheetViews>
  <sheetFormatPr defaultRowHeight="15"/>
  <cols>
    <col min="1" max="1" width="7.7109375" style="293" customWidth="1"/>
    <col min="2" max="2" width="50.42578125" style="293" customWidth="1"/>
    <col min="3" max="3" width="8.5703125" style="293" customWidth="1"/>
    <col min="4" max="4" width="5.140625" style="293" bestFit="1" customWidth="1"/>
    <col min="5" max="5" width="10.28515625" style="293" customWidth="1"/>
    <col min="6" max="6" width="18.85546875" style="293" customWidth="1"/>
    <col min="7" max="16384" width="9.140625" style="293"/>
  </cols>
  <sheetData>
    <row r="1" spans="1:9" ht="34.5" customHeight="1">
      <c r="A1" s="371" t="s">
        <v>352</v>
      </c>
      <c r="B1" s="371"/>
      <c r="C1" s="371"/>
      <c r="D1" s="371"/>
      <c r="E1" s="371"/>
      <c r="F1" s="371"/>
    </row>
    <row r="2" spans="1:9" ht="18.75" customHeight="1">
      <c r="A2" s="372" t="s">
        <v>75</v>
      </c>
      <c r="B2" s="373"/>
      <c r="C2" s="373"/>
      <c r="D2" s="373"/>
      <c r="E2" s="373"/>
      <c r="F2" s="374"/>
    </row>
    <row r="3" spans="1:9" ht="38.25" customHeight="1">
      <c r="A3" s="375" t="s">
        <v>353</v>
      </c>
      <c r="B3" s="376"/>
      <c r="C3" s="376"/>
      <c r="D3" s="376"/>
      <c r="E3" s="376"/>
      <c r="F3" s="377"/>
    </row>
    <row r="4" spans="1:9" s="304" customFormat="1" ht="99" customHeight="1">
      <c r="A4" s="298" t="s">
        <v>354</v>
      </c>
      <c r="B4" s="299" t="s">
        <v>355</v>
      </c>
      <c r="C4" s="300">
        <v>56.26</v>
      </c>
      <c r="D4" s="301" t="s">
        <v>15</v>
      </c>
      <c r="E4" s="302">
        <v>151.82</v>
      </c>
      <c r="F4" s="303">
        <f>ROUND((C4*E4),2)</f>
        <v>8541.39</v>
      </c>
    </row>
    <row r="5" spans="1:9" ht="96" customHeight="1">
      <c r="A5" s="305" t="s">
        <v>356</v>
      </c>
      <c r="B5" s="306" t="s">
        <v>46</v>
      </c>
      <c r="C5" s="307">
        <v>5.27</v>
      </c>
      <c r="D5" s="301" t="s">
        <v>15</v>
      </c>
      <c r="E5" s="307">
        <v>589.51</v>
      </c>
      <c r="F5" s="303">
        <f t="shared" ref="F5:F16" si="0">ROUND((C5*E5),2)</f>
        <v>3106.72</v>
      </c>
    </row>
    <row r="6" spans="1:9" s="308" customFormat="1" ht="81.75" customHeight="1">
      <c r="A6" s="305" t="s">
        <v>357</v>
      </c>
      <c r="B6" s="306" t="s">
        <v>48</v>
      </c>
      <c r="C6" s="307">
        <v>8.64</v>
      </c>
      <c r="D6" s="301" t="s">
        <v>15</v>
      </c>
      <c r="E6" s="307">
        <v>1756.4</v>
      </c>
      <c r="F6" s="303">
        <f t="shared" si="0"/>
        <v>15175.3</v>
      </c>
    </row>
    <row r="7" spans="1:9" s="308" customFormat="1" ht="59.25" customHeight="1">
      <c r="A7" s="305" t="s">
        <v>358</v>
      </c>
      <c r="B7" s="309" t="s">
        <v>359</v>
      </c>
      <c r="C7" s="307">
        <v>26.34</v>
      </c>
      <c r="D7" s="301" t="s">
        <v>15</v>
      </c>
      <c r="E7" s="307">
        <v>6082.45</v>
      </c>
      <c r="F7" s="303">
        <f t="shared" si="0"/>
        <v>160211.73000000001</v>
      </c>
    </row>
    <row r="8" spans="1:9" s="308" customFormat="1" ht="58.5" customHeight="1">
      <c r="A8" s="305" t="s">
        <v>360</v>
      </c>
      <c r="B8" s="309" t="s">
        <v>361</v>
      </c>
      <c r="C8" s="307">
        <v>10.54</v>
      </c>
      <c r="D8" s="301" t="s">
        <v>15</v>
      </c>
      <c r="E8" s="307">
        <v>6308.87</v>
      </c>
      <c r="F8" s="303">
        <f t="shared" si="0"/>
        <v>66495.490000000005</v>
      </c>
    </row>
    <row r="9" spans="1:9" s="308" customFormat="1" ht="116.25" customHeight="1">
      <c r="A9" s="310">
        <v>6</v>
      </c>
      <c r="B9" s="311" t="s">
        <v>362</v>
      </c>
      <c r="C9" s="312">
        <v>1.1719999999999999</v>
      </c>
      <c r="D9" s="301" t="s">
        <v>15</v>
      </c>
      <c r="E9" s="307">
        <v>83314.02</v>
      </c>
      <c r="F9" s="303">
        <f t="shared" si="0"/>
        <v>97644.03</v>
      </c>
    </row>
    <row r="10" spans="1:9" s="308" customFormat="1" ht="18.75" customHeight="1">
      <c r="A10" s="310"/>
      <c r="B10" s="311" t="s">
        <v>363</v>
      </c>
      <c r="C10" s="312">
        <v>1.79</v>
      </c>
      <c r="D10" s="301" t="s">
        <v>15</v>
      </c>
      <c r="E10" s="307">
        <v>82096.539999999994</v>
      </c>
      <c r="F10" s="303">
        <f t="shared" si="0"/>
        <v>146952.81</v>
      </c>
    </row>
    <row r="11" spans="1:9" s="308" customFormat="1" ht="50.25" customHeight="1">
      <c r="A11" s="305" t="s">
        <v>364</v>
      </c>
      <c r="B11" s="306" t="s">
        <v>57</v>
      </c>
      <c r="C11" s="313">
        <v>207.43</v>
      </c>
      <c r="D11" s="314" t="s">
        <v>11</v>
      </c>
      <c r="E11" s="315">
        <v>194.5</v>
      </c>
      <c r="F11" s="303">
        <f t="shared" si="0"/>
        <v>40345.14</v>
      </c>
      <c r="I11" s="308" t="s">
        <v>365</v>
      </c>
    </row>
    <row r="12" spans="1:9" s="308" customFormat="1" ht="26.25" customHeight="1">
      <c r="A12" s="316" t="s">
        <v>13</v>
      </c>
      <c r="B12" s="317" t="s">
        <v>69</v>
      </c>
      <c r="C12" s="307">
        <v>15.86</v>
      </c>
      <c r="D12" s="307" t="s">
        <v>15</v>
      </c>
      <c r="E12" s="315">
        <v>848.82</v>
      </c>
      <c r="F12" s="303">
        <f t="shared" si="0"/>
        <v>13462.29</v>
      </c>
    </row>
    <row r="13" spans="1:9" s="308" customFormat="1" ht="24" customHeight="1">
      <c r="A13" s="316" t="s">
        <v>16</v>
      </c>
      <c r="B13" s="317" t="s">
        <v>366</v>
      </c>
      <c r="C13" s="307">
        <v>5.27</v>
      </c>
      <c r="D13" s="307" t="s">
        <v>15</v>
      </c>
      <c r="E13" s="315">
        <v>313.14</v>
      </c>
      <c r="F13" s="303">
        <f t="shared" si="0"/>
        <v>1650.25</v>
      </c>
    </row>
    <row r="14" spans="1:9" s="308" customFormat="1" ht="24" customHeight="1">
      <c r="A14" s="316" t="s">
        <v>18</v>
      </c>
      <c r="B14" s="318" t="s">
        <v>367</v>
      </c>
      <c r="C14" s="307">
        <v>31.72</v>
      </c>
      <c r="D14" s="307" t="s">
        <v>15</v>
      </c>
      <c r="E14" s="315">
        <v>447.06</v>
      </c>
      <c r="F14" s="303">
        <f t="shared" si="0"/>
        <v>14180.74</v>
      </c>
    </row>
    <row r="15" spans="1:9" s="308" customFormat="1" ht="24" customHeight="1">
      <c r="A15" s="316" t="s">
        <v>20</v>
      </c>
      <c r="B15" s="318" t="s">
        <v>368</v>
      </c>
      <c r="C15" s="307">
        <v>8.64</v>
      </c>
      <c r="D15" s="307" t="s">
        <v>15</v>
      </c>
      <c r="E15" s="315">
        <v>679.66</v>
      </c>
      <c r="F15" s="303">
        <f t="shared" si="0"/>
        <v>5872.26</v>
      </c>
    </row>
    <row r="16" spans="1:9" s="308" customFormat="1" ht="24" customHeight="1">
      <c r="A16" s="316" t="s">
        <v>22</v>
      </c>
      <c r="B16" s="318" t="s">
        <v>369</v>
      </c>
      <c r="C16" s="307">
        <v>56.26</v>
      </c>
      <c r="D16" s="307" t="s">
        <v>15</v>
      </c>
      <c r="E16" s="315">
        <v>117.54</v>
      </c>
      <c r="F16" s="303">
        <f t="shared" si="0"/>
        <v>6612.8</v>
      </c>
    </row>
    <row r="17" spans="1:6" s="308" customFormat="1">
      <c r="A17" s="319"/>
      <c r="B17" s="320"/>
      <c r="C17" s="321"/>
      <c r="D17" s="322"/>
      <c r="E17" s="322" t="s">
        <v>59</v>
      </c>
      <c r="F17" s="323">
        <f>SUM(F4:F16)</f>
        <v>580250.95000000007</v>
      </c>
    </row>
    <row r="18" spans="1:6" s="308" customFormat="1">
      <c r="A18" s="324"/>
      <c r="B18" s="325"/>
      <c r="C18" s="322"/>
      <c r="D18" s="321"/>
      <c r="E18" s="322" t="s">
        <v>370</v>
      </c>
      <c r="F18" s="323">
        <f>F17*18/100</f>
        <v>104445.17100000002</v>
      </c>
    </row>
    <row r="19" spans="1:6" s="308" customFormat="1">
      <c r="A19" s="324"/>
      <c r="B19" s="325"/>
      <c r="C19" s="322"/>
      <c r="D19" s="322"/>
      <c r="E19" s="322"/>
      <c r="F19" s="323">
        <f>F17+F18</f>
        <v>684696.12100000004</v>
      </c>
    </row>
    <row r="20" spans="1:6" s="308" customFormat="1">
      <c r="A20" s="324"/>
      <c r="B20" s="325"/>
      <c r="C20" s="322"/>
      <c r="D20" s="322"/>
      <c r="E20" s="322" t="s">
        <v>371</v>
      </c>
      <c r="F20" s="323">
        <f>F19*1/100</f>
        <v>6846.9612100000004</v>
      </c>
    </row>
    <row r="21" spans="1:6" s="308" customFormat="1">
      <c r="A21" s="324"/>
      <c r="B21" s="325"/>
      <c r="C21" s="322"/>
      <c r="D21" s="322"/>
      <c r="E21" s="322" t="s">
        <v>59</v>
      </c>
      <c r="F21" s="326">
        <f>F19+F20</f>
        <v>691543.08221000002</v>
      </c>
    </row>
    <row r="22" spans="1:6" s="308" customFormat="1">
      <c r="C22" s="327"/>
      <c r="D22" s="327"/>
      <c r="E22" s="327"/>
      <c r="F22" s="327"/>
    </row>
    <row r="23" spans="1:6" s="308" customFormat="1">
      <c r="C23" s="327"/>
      <c r="D23" s="327"/>
      <c r="E23" s="327"/>
      <c r="F23" s="327"/>
    </row>
    <row r="24" spans="1:6" s="308" customFormat="1">
      <c r="C24" s="327"/>
      <c r="D24" s="327"/>
      <c r="E24" s="327"/>
      <c r="F24" s="327"/>
    </row>
    <row r="25" spans="1:6" s="308" customFormat="1">
      <c r="C25" s="327"/>
      <c r="D25" s="327"/>
      <c r="E25" s="327"/>
      <c r="F25" s="327"/>
    </row>
    <row r="26" spans="1:6" s="308" customFormat="1">
      <c r="C26" s="327"/>
      <c r="D26" s="327"/>
      <c r="E26" s="327"/>
      <c r="F26" s="327"/>
    </row>
    <row r="27" spans="1:6" s="308" customFormat="1">
      <c r="C27" s="327"/>
      <c r="D27" s="327"/>
      <c r="E27" s="327"/>
      <c r="F27" s="327"/>
    </row>
    <row r="28" spans="1:6" s="308" customFormat="1">
      <c r="C28" s="327"/>
      <c r="D28" s="327"/>
      <c r="E28" s="327"/>
      <c r="F28" s="327"/>
    </row>
    <row r="29" spans="1:6" s="308" customFormat="1">
      <c r="C29" s="327"/>
      <c r="D29" s="327"/>
      <c r="E29" s="327"/>
      <c r="F29" s="327"/>
    </row>
    <row r="30" spans="1:6" s="308" customFormat="1">
      <c r="C30" s="327"/>
      <c r="D30" s="327"/>
      <c r="E30" s="327"/>
      <c r="F30" s="327"/>
    </row>
    <row r="31" spans="1:6" s="308" customFormat="1">
      <c r="C31" s="327"/>
      <c r="D31" s="327"/>
      <c r="E31" s="327"/>
      <c r="F31" s="327"/>
    </row>
    <row r="32" spans="1:6" s="308" customFormat="1">
      <c r="C32" s="327"/>
      <c r="D32" s="327"/>
      <c r="E32" s="327"/>
      <c r="F32" s="327"/>
    </row>
    <row r="33" spans="1:6" s="308" customFormat="1">
      <c r="C33" s="327"/>
      <c r="D33" s="327"/>
      <c r="E33" s="327"/>
      <c r="F33" s="327"/>
    </row>
    <row r="34" spans="1:6" s="308" customFormat="1">
      <c r="C34" s="327"/>
      <c r="D34" s="327"/>
      <c r="E34" s="327"/>
      <c r="F34" s="327"/>
    </row>
    <row r="35" spans="1:6" s="308" customFormat="1">
      <c r="C35" s="327"/>
      <c r="D35" s="327"/>
      <c r="E35" s="327"/>
      <c r="F35" s="327"/>
    </row>
    <row r="36" spans="1:6" s="308" customFormat="1">
      <c r="C36" s="327"/>
      <c r="D36" s="327"/>
      <c r="E36" s="327"/>
      <c r="F36" s="327"/>
    </row>
    <row r="37" spans="1:6" s="308" customFormat="1">
      <c r="C37" s="327"/>
      <c r="D37" s="327"/>
      <c r="E37" s="327"/>
      <c r="F37" s="327"/>
    </row>
    <row r="38" spans="1:6" s="308" customFormat="1">
      <c r="C38" s="327"/>
      <c r="D38" s="327"/>
      <c r="E38" s="327"/>
      <c r="F38" s="327"/>
    </row>
    <row r="39" spans="1:6" s="308" customFormat="1">
      <c r="A39" s="293"/>
      <c r="B39" s="293"/>
      <c r="C39" s="201"/>
      <c r="D39" s="201"/>
      <c r="E39" s="201"/>
      <c r="F39" s="201"/>
    </row>
    <row r="40" spans="1:6">
      <c r="C40" s="201"/>
      <c r="D40" s="201"/>
      <c r="E40" s="201"/>
      <c r="F40" s="201"/>
    </row>
    <row r="41" spans="1:6">
      <c r="C41" s="201"/>
      <c r="D41" s="201"/>
      <c r="E41" s="201"/>
      <c r="F41" s="201"/>
    </row>
    <row r="42" spans="1:6">
      <c r="C42" s="201"/>
      <c r="D42" s="201"/>
      <c r="E42" s="201"/>
      <c r="F42" s="201"/>
    </row>
    <row r="43" spans="1:6">
      <c r="C43" s="201"/>
      <c r="D43" s="201"/>
      <c r="E43" s="201"/>
      <c r="F43" s="201"/>
    </row>
    <row r="44" spans="1:6">
      <c r="C44" s="201"/>
      <c r="D44" s="201"/>
      <c r="E44" s="201"/>
      <c r="F44" s="201"/>
    </row>
    <row r="45" spans="1:6">
      <c r="C45" s="201"/>
      <c r="D45" s="201"/>
      <c r="E45" s="201"/>
      <c r="F45" s="201"/>
    </row>
    <row r="46" spans="1:6">
      <c r="C46" s="201"/>
      <c r="D46" s="201"/>
      <c r="E46" s="201"/>
      <c r="F46" s="201"/>
    </row>
    <row r="47" spans="1:6">
      <c r="C47" s="201"/>
      <c r="D47" s="201"/>
      <c r="E47" s="201"/>
      <c r="F47" s="201"/>
    </row>
    <row r="48" spans="1:6">
      <c r="C48" s="201"/>
      <c r="D48" s="201"/>
      <c r="E48" s="201"/>
      <c r="F48" s="201"/>
    </row>
    <row r="49" spans="3:6">
      <c r="C49" s="201"/>
      <c r="D49" s="201"/>
      <c r="E49" s="201"/>
      <c r="F49" s="201"/>
    </row>
  </sheetData>
  <mergeCells count="3">
    <mergeCell ref="A1:F1"/>
    <mergeCell ref="A2:F2"/>
    <mergeCell ref="A3:F3"/>
  </mergeCells>
  <pageMargins left="0.48" right="0.3" top="0.74803149606299213" bottom="0.74803149606299213" header="0.31496062992125984" footer="0.31496062992125984"/>
  <pageSetup paperSize="9" scale="80" orientation="portrait" r:id="rId1"/>
  <rowBreaks count="1" manualBreakCount="1">
    <brk id="14" max="16383" man="1"/>
  </rowBreaks>
</worksheet>
</file>

<file path=xl/worksheets/sheet10.xml><?xml version="1.0" encoding="utf-8"?>
<worksheet xmlns="http://schemas.openxmlformats.org/spreadsheetml/2006/main" xmlns:r="http://schemas.openxmlformats.org/officeDocument/2006/relationships">
  <dimension ref="A1:K41"/>
  <sheetViews>
    <sheetView topLeftCell="A34" workbookViewId="0">
      <selection activeCell="F41" sqref="F41"/>
    </sheetView>
  </sheetViews>
  <sheetFormatPr defaultRowHeight="15"/>
  <cols>
    <col min="1" max="1" width="9.140625" style="30"/>
    <col min="2" max="2" width="42.85546875" style="31" customWidth="1"/>
    <col min="3" max="3" width="9.140625" style="23"/>
    <col min="4" max="4" width="9.140625" style="32"/>
    <col min="5" max="5" width="11" style="23" customWidth="1"/>
    <col min="6" max="6" width="16.42578125" style="33" customWidth="1"/>
    <col min="7" max="16384" width="9.140625" style="23"/>
  </cols>
  <sheetData>
    <row r="1" spans="1:6" ht="18.75">
      <c r="A1" s="380" t="s">
        <v>0</v>
      </c>
      <c r="B1" s="380"/>
      <c r="C1" s="380"/>
      <c r="D1" s="380"/>
      <c r="E1" s="380"/>
      <c r="F1" s="380"/>
    </row>
    <row r="2" spans="1:6" ht="18.75">
      <c r="A2" s="380" t="s">
        <v>33</v>
      </c>
      <c r="B2" s="380"/>
      <c r="C2" s="380"/>
      <c r="D2" s="380"/>
      <c r="E2" s="380"/>
      <c r="F2" s="380"/>
    </row>
    <row r="3" spans="1:6" ht="43.5" customHeight="1">
      <c r="A3" s="381" t="s">
        <v>82</v>
      </c>
      <c r="B3" s="381"/>
      <c r="C3" s="381"/>
      <c r="D3" s="381"/>
      <c r="E3" s="381"/>
      <c r="F3" s="381"/>
    </row>
    <row r="4" spans="1:6">
      <c r="A4" s="24" t="s">
        <v>35</v>
      </c>
      <c r="B4" s="24" t="s">
        <v>36</v>
      </c>
      <c r="C4" s="24" t="s">
        <v>37</v>
      </c>
      <c r="D4" s="24" t="s">
        <v>5</v>
      </c>
      <c r="E4" s="24" t="s">
        <v>38</v>
      </c>
      <c r="F4" s="24" t="s">
        <v>39</v>
      </c>
    </row>
    <row r="5" spans="1:6" ht="75">
      <c r="A5" s="26" t="s">
        <v>83</v>
      </c>
      <c r="B5" s="26" t="s">
        <v>84</v>
      </c>
      <c r="C5" s="131">
        <v>0.88600000000000001</v>
      </c>
      <c r="D5" s="26" t="s">
        <v>15</v>
      </c>
      <c r="E5" s="26">
        <v>955.89</v>
      </c>
      <c r="F5" s="26">
        <f>C5*E5</f>
        <v>846.91854000000001</v>
      </c>
    </row>
    <row r="6" spans="1:6" ht="120">
      <c r="A6" s="26" t="s">
        <v>85</v>
      </c>
      <c r="B6" s="26" t="s">
        <v>86</v>
      </c>
      <c r="C6" s="131">
        <v>3.2040000000000002</v>
      </c>
      <c r="D6" s="26" t="s">
        <v>15</v>
      </c>
      <c r="E6" s="26">
        <v>167.33</v>
      </c>
      <c r="F6" s="26">
        <f t="shared" ref="F6:F35" si="0">C6*E6</f>
        <v>536.1253200000001</v>
      </c>
    </row>
    <row r="7" spans="1:6" ht="120">
      <c r="A7" s="26" t="s">
        <v>87</v>
      </c>
      <c r="B7" s="26" t="s">
        <v>88</v>
      </c>
      <c r="C7" s="131">
        <v>0.53400000000000003</v>
      </c>
      <c r="D7" s="26" t="s">
        <v>15</v>
      </c>
      <c r="E7" s="26">
        <v>589.51</v>
      </c>
      <c r="F7" s="26">
        <f t="shared" si="0"/>
        <v>314.79834</v>
      </c>
    </row>
    <row r="8" spans="1:6" ht="60">
      <c r="A8" s="26" t="s">
        <v>89</v>
      </c>
      <c r="B8" s="26" t="s">
        <v>90</v>
      </c>
      <c r="C8" s="131">
        <v>3.5</v>
      </c>
      <c r="D8" s="26" t="s">
        <v>91</v>
      </c>
      <c r="E8" s="26">
        <v>356.52</v>
      </c>
      <c r="F8" s="26">
        <f t="shared" si="0"/>
        <v>1247.82</v>
      </c>
    </row>
    <row r="9" spans="1:6" ht="75">
      <c r="A9" s="26" t="s">
        <v>92</v>
      </c>
      <c r="B9" s="26" t="s">
        <v>93</v>
      </c>
      <c r="C9" s="131">
        <v>0.53</v>
      </c>
      <c r="D9" s="26" t="s">
        <v>94</v>
      </c>
      <c r="E9" s="26">
        <v>4854.5</v>
      </c>
      <c r="F9" s="26">
        <f t="shared" si="0"/>
        <v>2572.8850000000002</v>
      </c>
    </row>
    <row r="10" spans="1:6" ht="120">
      <c r="A10" s="26" t="s">
        <v>95</v>
      </c>
      <c r="B10" s="26" t="s">
        <v>96</v>
      </c>
      <c r="C10" s="131">
        <v>1.87</v>
      </c>
      <c r="D10" s="26" t="s">
        <v>94</v>
      </c>
      <c r="E10" s="26">
        <v>5618.23</v>
      </c>
      <c r="F10" s="26">
        <f t="shared" si="0"/>
        <v>10506.090099999999</v>
      </c>
    </row>
    <row r="11" spans="1:6" ht="75">
      <c r="A11" s="26" t="s">
        <v>97</v>
      </c>
      <c r="B11" s="26" t="s">
        <v>98</v>
      </c>
      <c r="C11" s="131">
        <v>3.52</v>
      </c>
      <c r="D11" s="26" t="s">
        <v>11</v>
      </c>
      <c r="E11" s="26">
        <v>278.35000000000002</v>
      </c>
      <c r="F11" s="26">
        <f t="shared" si="0"/>
        <v>979.79200000000003</v>
      </c>
    </row>
    <row r="12" spans="1:6" ht="120">
      <c r="A12" s="26" t="s">
        <v>99</v>
      </c>
      <c r="B12" s="26" t="s">
        <v>100</v>
      </c>
      <c r="C12" s="131">
        <v>1.84</v>
      </c>
      <c r="D12" s="26" t="s">
        <v>94</v>
      </c>
      <c r="E12" s="26">
        <v>5573.67</v>
      </c>
      <c r="F12" s="26">
        <f t="shared" si="0"/>
        <v>10255.552800000001</v>
      </c>
    </row>
    <row r="13" spans="1:6" ht="120">
      <c r="A13" s="26" t="s">
        <v>101</v>
      </c>
      <c r="B13" s="26" t="s">
        <v>102</v>
      </c>
      <c r="C13" s="131">
        <f>0.23+0.712</f>
        <v>0.94199999999999995</v>
      </c>
      <c r="D13" s="26" t="s">
        <v>94</v>
      </c>
      <c r="E13" s="26">
        <v>6308.87</v>
      </c>
      <c r="F13" s="26">
        <f t="shared" si="0"/>
        <v>5942.9555399999999</v>
      </c>
    </row>
    <row r="14" spans="1:6" ht="45">
      <c r="A14" s="26" t="s">
        <v>103</v>
      </c>
      <c r="B14" s="26" t="s">
        <v>104</v>
      </c>
      <c r="C14" s="131">
        <v>4.6719999999999997</v>
      </c>
      <c r="D14" s="26" t="s">
        <v>11</v>
      </c>
      <c r="E14" s="26">
        <v>435.82</v>
      </c>
      <c r="F14" s="26">
        <f t="shared" si="0"/>
        <v>2036.1510399999997</v>
      </c>
    </row>
    <row r="15" spans="1:6" ht="165">
      <c r="A15" s="26" t="s">
        <v>105</v>
      </c>
      <c r="B15" s="26" t="s">
        <v>106</v>
      </c>
      <c r="C15" s="131">
        <v>1.4E-2</v>
      </c>
      <c r="D15" s="26" t="s">
        <v>10</v>
      </c>
      <c r="E15" s="26">
        <v>83314.02</v>
      </c>
      <c r="F15" s="26">
        <f t="shared" si="0"/>
        <v>1166.3962800000002</v>
      </c>
    </row>
    <row r="16" spans="1:6">
      <c r="A16" s="26"/>
      <c r="B16" s="26" t="s">
        <v>107</v>
      </c>
      <c r="C16" s="131">
        <v>0.02</v>
      </c>
      <c r="D16" s="26" t="s">
        <v>10</v>
      </c>
      <c r="E16" s="26">
        <v>82096.539999999994</v>
      </c>
      <c r="F16" s="26">
        <f t="shared" si="0"/>
        <v>1641.9307999999999</v>
      </c>
    </row>
    <row r="17" spans="1:6" ht="90">
      <c r="A17" s="26" t="s">
        <v>108</v>
      </c>
      <c r="B17" s="26" t="s">
        <v>109</v>
      </c>
      <c r="C17" s="131">
        <v>11.68</v>
      </c>
      <c r="D17" s="26" t="s">
        <v>11</v>
      </c>
      <c r="E17" s="26">
        <v>189.13</v>
      </c>
      <c r="F17" s="26">
        <f t="shared" si="0"/>
        <v>2209.0383999999999</v>
      </c>
    </row>
    <row r="18" spans="1:6" ht="120">
      <c r="A18" s="26" t="s">
        <v>110</v>
      </c>
      <c r="B18" s="26" t="s">
        <v>111</v>
      </c>
      <c r="C18" s="131">
        <v>44.14</v>
      </c>
      <c r="D18" s="26" t="s">
        <v>11</v>
      </c>
      <c r="E18" s="26">
        <v>1289.6199999999999</v>
      </c>
      <c r="F18" s="26">
        <f t="shared" si="0"/>
        <v>56923.826799999995</v>
      </c>
    </row>
    <row r="19" spans="1:6" ht="105">
      <c r="A19" s="26" t="s">
        <v>112</v>
      </c>
      <c r="B19" s="26" t="s">
        <v>113</v>
      </c>
      <c r="C19" s="131">
        <f>4.67+4.91</f>
        <v>9.58</v>
      </c>
      <c r="D19" s="26" t="s">
        <v>91</v>
      </c>
      <c r="E19" s="26">
        <v>950.33</v>
      </c>
      <c r="F19" s="26">
        <f t="shared" si="0"/>
        <v>9104.1614000000009</v>
      </c>
    </row>
    <row r="20" spans="1:6" ht="225">
      <c r="A20" s="26" t="s">
        <v>114</v>
      </c>
      <c r="B20" s="26" t="s">
        <v>115</v>
      </c>
      <c r="C20" s="131">
        <v>214.9</v>
      </c>
      <c r="D20" s="26" t="s">
        <v>116</v>
      </c>
      <c r="E20" s="26">
        <f>612.25*0.868</f>
        <v>531.43299999999999</v>
      </c>
      <c r="F20" s="26">
        <f t="shared" si="0"/>
        <v>114204.95170000001</v>
      </c>
    </row>
    <row r="21" spans="1:6" ht="90">
      <c r="A21" s="26" t="s">
        <v>117</v>
      </c>
      <c r="B21" s="26" t="s">
        <v>118</v>
      </c>
      <c r="C21" s="131">
        <v>36.340000000000003</v>
      </c>
      <c r="D21" s="26" t="s">
        <v>119</v>
      </c>
      <c r="E21" s="26">
        <v>211.47</v>
      </c>
      <c r="F21" s="26">
        <f t="shared" si="0"/>
        <v>7684.8198000000011</v>
      </c>
    </row>
    <row r="22" spans="1:6" ht="90">
      <c r="A22" s="26" t="s">
        <v>120</v>
      </c>
      <c r="B22" s="26" t="s">
        <v>121</v>
      </c>
      <c r="C22" s="131">
        <f>9.67+3.42</f>
        <v>13.09</v>
      </c>
      <c r="D22" s="26" t="s">
        <v>11</v>
      </c>
      <c r="E22" s="26">
        <v>66.040000000000006</v>
      </c>
      <c r="F22" s="26">
        <f t="shared" si="0"/>
        <v>864.46360000000004</v>
      </c>
    </row>
    <row r="23" spans="1:6">
      <c r="A23" s="25">
        <v>18</v>
      </c>
      <c r="B23" s="26" t="s">
        <v>122</v>
      </c>
      <c r="C23" s="131">
        <v>1</v>
      </c>
      <c r="D23" s="26" t="s">
        <v>123</v>
      </c>
      <c r="E23" s="26">
        <v>225000</v>
      </c>
      <c r="F23" s="26">
        <f t="shared" si="0"/>
        <v>225000</v>
      </c>
    </row>
    <row r="24" spans="1:6" ht="60">
      <c r="A24" s="26" t="s">
        <v>124</v>
      </c>
      <c r="B24" s="26" t="s">
        <v>125</v>
      </c>
      <c r="C24" s="131">
        <v>10</v>
      </c>
      <c r="D24" s="26" t="s">
        <v>126</v>
      </c>
      <c r="E24" s="26">
        <v>326.85000000000002</v>
      </c>
      <c r="F24" s="26">
        <f t="shared" si="0"/>
        <v>3268.5</v>
      </c>
    </row>
    <row r="25" spans="1:6" ht="135">
      <c r="A25" s="26" t="s">
        <v>127</v>
      </c>
      <c r="B25" s="26" t="s">
        <v>128</v>
      </c>
      <c r="C25" s="131">
        <v>1.71</v>
      </c>
      <c r="D25" s="26" t="s">
        <v>91</v>
      </c>
      <c r="E25" s="26">
        <v>4283.1400000000003</v>
      </c>
      <c r="F25" s="26">
        <f t="shared" si="0"/>
        <v>7324.1694000000007</v>
      </c>
    </row>
    <row r="26" spans="1:6" ht="75">
      <c r="A26" s="26" t="s">
        <v>129</v>
      </c>
      <c r="B26" s="26" t="s">
        <v>130</v>
      </c>
      <c r="C26" s="131">
        <v>16.73</v>
      </c>
      <c r="D26" s="26" t="s">
        <v>11</v>
      </c>
      <c r="E26" s="26">
        <f>123.85*0.868</f>
        <v>107.50179999999999</v>
      </c>
      <c r="F26" s="26">
        <f t="shared" si="0"/>
        <v>1798.5051139999998</v>
      </c>
    </row>
    <row r="27" spans="1:6" ht="90">
      <c r="A27" s="26" t="s">
        <v>131</v>
      </c>
      <c r="B27" s="26" t="s">
        <v>132</v>
      </c>
      <c r="C27" s="131">
        <v>16.73</v>
      </c>
      <c r="D27" s="26" t="s">
        <v>11</v>
      </c>
      <c r="E27" s="26">
        <f>162.35*0.868</f>
        <v>140.91979999999998</v>
      </c>
      <c r="F27" s="26">
        <f t="shared" si="0"/>
        <v>2357.5882539999998</v>
      </c>
    </row>
    <row r="28" spans="1:6" ht="150">
      <c r="A28" s="26" t="s">
        <v>133</v>
      </c>
      <c r="B28" s="26" t="s">
        <v>134</v>
      </c>
      <c r="C28" s="131">
        <v>6.51</v>
      </c>
      <c r="D28" s="26" t="s">
        <v>91</v>
      </c>
      <c r="E28" s="26">
        <f>681.67*0.868</f>
        <v>591.68955999999991</v>
      </c>
      <c r="F28" s="26">
        <f t="shared" si="0"/>
        <v>3851.8990355999995</v>
      </c>
    </row>
    <row r="29" spans="1:6" ht="135">
      <c r="A29" s="26" t="s">
        <v>135</v>
      </c>
      <c r="B29" s="26" t="s">
        <v>136</v>
      </c>
      <c r="C29" s="131">
        <v>10</v>
      </c>
      <c r="D29" s="26" t="s">
        <v>119</v>
      </c>
      <c r="E29" s="26">
        <f>500.95*0.868</f>
        <v>434.82459999999998</v>
      </c>
      <c r="F29" s="26">
        <f t="shared" si="0"/>
        <v>4348.2460000000001</v>
      </c>
    </row>
    <row r="30" spans="1:6" ht="45">
      <c r="A30" s="26" t="s">
        <v>137</v>
      </c>
      <c r="B30" s="26" t="s">
        <v>138</v>
      </c>
      <c r="C30" s="131">
        <v>4</v>
      </c>
      <c r="D30" s="26" t="s">
        <v>139</v>
      </c>
      <c r="E30" s="26">
        <v>282.29000000000002</v>
      </c>
      <c r="F30" s="26">
        <f t="shared" si="0"/>
        <v>1129.1600000000001</v>
      </c>
    </row>
    <row r="31" spans="1:6" ht="75">
      <c r="A31" s="26" t="s">
        <v>140</v>
      </c>
      <c r="B31" s="26" t="s">
        <v>141</v>
      </c>
      <c r="C31" s="131">
        <v>4</v>
      </c>
      <c r="D31" s="26" t="s">
        <v>139</v>
      </c>
      <c r="E31" s="26">
        <v>354.59</v>
      </c>
      <c r="F31" s="26">
        <f t="shared" si="0"/>
        <v>1418.36</v>
      </c>
    </row>
    <row r="32" spans="1:6">
      <c r="A32" s="26">
        <v>27</v>
      </c>
      <c r="B32" s="26" t="s">
        <v>142</v>
      </c>
      <c r="C32" s="131">
        <v>1</v>
      </c>
      <c r="D32" s="26" t="s">
        <v>143</v>
      </c>
      <c r="E32" s="26">
        <v>19000</v>
      </c>
      <c r="F32" s="26">
        <f t="shared" si="0"/>
        <v>19000</v>
      </c>
    </row>
    <row r="33" spans="1:11">
      <c r="A33" s="25">
        <v>27</v>
      </c>
      <c r="B33" s="26" t="s">
        <v>144</v>
      </c>
      <c r="C33" s="26"/>
      <c r="D33" s="26"/>
      <c r="E33" s="26"/>
      <c r="F33" s="26"/>
    </row>
    <row r="34" spans="1:11">
      <c r="A34" s="26" t="s">
        <v>145</v>
      </c>
      <c r="B34" s="26" t="s">
        <v>146</v>
      </c>
      <c r="C34" s="26">
        <v>1.07</v>
      </c>
      <c r="D34" s="26" t="s">
        <v>94</v>
      </c>
      <c r="E34" s="26">
        <v>848.82</v>
      </c>
      <c r="F34" s="26">
        <f t="shared" si="0"/>
        <v>908.23740000000009</v>
      </c>
    </row>
    <row r="35" spans="1:11">
      <c r="A35" s="26" t="s">
        <v>147</v>
      </c>
      <c r="B35" s="26" t="s">
        <v>148</v>
      </c>
      <c r="C35" s="26">
        <v>0.32</v>
      </c>
      <c r="D35" s="26" t="s">
        <v>94</v>
      </c>
      <c r="E35" s="26">
        <v>447.06</v>
      </c>
      <c r="F35" s="26">
        <f t="shared" si="0"/>
        <v>143.0592</v>
      </c>
    </row>
    <row r="36" spans="1:11">
      <c r="A36" s="26" t="s">
        <v>149</v>
      </c>
      <c r="B36" s="26" t="s">
        <v>150</v>
      </c>
      <c r="C36" s="26">
        <f>1507+351</f>
        <v>1858</v>
      </c>
      <c r="D36" s="132" t="s">
        <v>151</v>
      </c>
      <c r="E36" s="26">
        <v>755.2</v>
      </c>
      <c r="F36" s="26">
        <f>1138.43+265.3</f>
        <v>1403.73</v>
      </c>
    </row>
    <row r="37" spans="1:11">
      <c r="A37" s="27"/>
      <c r="B37" s="28"/>
      <c r="C37" s="29"/>
      <c r="D37" s="25"/>
      <c r="E37" s="133" t="s">
        <v>59</v>
      </c>
      <c r="F37" s="134">
        <f>SUM(F5:F36)</f>
        <v>500990.13186359999</v>
      </c>
    </row>
    <row r="38" spans="1:11">
      <c r="A38" s="27"/>
      <c r="B38" s="28"/>
      <c r="C38" s="29"/>
      <c r="D38" s="25"/>
      <c r="E38" s="26" t="s">
        <v>60</v>
      </c>
      <c r="F38" s="26">
        <f>F37*18/100</f>
        <v>90178.223735447988</v>
      </c>
      <c r="K38" s="33"/>
    </row>
    <row r="39" spans="1:11">
      <c r="A39" s="27"/>
      <c r="B39" s="28"/>
      <c r="C39" s="29"/>
      <c r="D39" s="25"/>
      <c r="E39" s="26"/>
      <c r="F39" s="26">
        <f>F38+F37</f>
        <v>591168.35559904797</v>
      </c>
    </row>
    <row r="40" spans="1:11" ht="30">
      <c r="A40" s="27"/>
      <c r="B40" s="28"/>
      <c r="C40" s="29"/>
      <c r="D40" s="25"/>
      <c r="E40" s="26" t="s">
        <v>61</v>
      </c>
      <c r="F40" s="26">
        <f>F39*1/100</f>
        <v>5911.6835559904794</v>
      </c>
      <c r="K40" s="33"/>
    </row>
    <row r="41" spans="1:11">
      <c r="A41" s="27"/>
      <c r="B41" s="28"/>
      <c r="C41" s="29"/>
      <c r="D41" s="25"/>
      <c r="E41" s="26" t="s">
        <v>59</v>
      </c>
      <c r="F41" s="26">
        <f>F40+F39</f>
        <v>597080.03915503842</v>
      </c>
    </row>
  </sheetData>
  <mergeCells count="3">
    <mergeCell ref="A1:F1"/>
    <mergeCell ref="A2:F2"/>
    <mergeCell ref="A3:F3"/>
  </mergeCells>
  <conditionalFormatting sqref="E38:E1048576 E1:E36">
    <cfRule type="duplicateValues" dxfId="0"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0"/>
  <sheetViews>
    <sheetView workbookViewId="0">
      <selection activeCell="A3" sqref="A3:F3"/>
    </sheetView>
  </sheetViews>
  <sheetFormatPr defaultRowHeight="15"/>
  <cols>
    <col min="1" max="1" width="7.85546875" customWidth="1"/>
    <col min="2" max="2" width="50.28515625" customWidth="1"/>
    <col min="3" max="3" width="12.5703125" customWidth="1"/>
    <col min="4" max="4" width="8.85546875" customWidth="1"/>
    <col min="5" max="5" width="14.28515625" customWidth="1"/>
    <col min="6" max="6" width="19.85546875" customWidth="1"/>
  </cols>
  <sheetData>
    <row r="1" spans="1:7" ht="27">
      <c r="A1" s="414" t="s">
        <v>0</v>
      </c>
      <c r="B1" s="414"/>
      <c r="C1" s="414"/>
      <c r="D1" s="414"/>
      <c r="E1" s="414"/>
      <c r="F1" s="414"/>
      <c r="G1" s="159"/>
    </row>
    <row r="2" spans="1:7" ht="25.5" customHeight="1">
      <c r="A2" s="415" t="s">
        <v>75</v>
      </c>
      <c r="B2" s="416"/>
      <c r="C2" s="416"/>
      <c r="D2" s="416"/>
      <c r="E2" s="416"/>
      <c r="F2" s="416"/>
      <c r="G2" s="159"/>
    </row>
    <row r="3" spans="1:7" ht="28.5" customHeight="1">
      <c r="A3" s="417" t="s">
        <v>255</v>
      </c>
      <c r="B3" s="417"/>
      <c r="C3" s="417"/>
      <c r="D3" s="417"/>
      <c r="E3" s="417"/>
      <c r="F3" s="417"/>
      <c r="G3" s="159"/>
    </row>
    <row r="4" spans="1:7">
      <c r="A4" s="160" t="s">
        <v>234</v>
      </c>
      <c r="B4" s="160" t="s">
        <v>235</v>
      </c>
      <c r="C4" s="160" t="s">
        <v>236</v>
      </c>
      <c r="D4" s="160" t="s">
        <v>5</v>
      </c>
      <c r="E4" s="161" t="s">
        <v>38</v>
      </c>
      <c r="F4" s="162" t="s">
        <v>39</v>
      </c>
      <c r="G4" s="159"/>
    </row>
    <row r="5" spans="1:7" ht="54.75" customHeight="1">
      <c r="A5" s="163">
        <v>1</v>
      </c>
      <c r="B5" s="164" t="s">
        <v>40</v>
      </c>
      <c r="C5" s="163">
        <v>5</v>
      </c>
      <c r="D5" s="163" t="s">
        <v>41</v>
      </c>
      <c r="E5" s="165">
        <v>326.85000000000002</v>
      </c>
      <c r="F5" s="166">
        <f>C5*E5</f>
        <v>1634.25</v>
      </c>
      <c r="G5" s="159"/>
    </row>
    <row r="6" spans="1:7" ht="63.75">
      <c r="A6" s="167" t="str">
        <f>[9]Estimate!A6</f>
        <v xml:space="preserve">2.     RCD  5.02 (iii) </v>
      </c>
      <c r="B6" s="164" t="s">
        <v>256</v>
      </c>
      <c r="C6" s="163">
        <v>1242.19</v>
      </c>
      <c r="D6" s="163" t="s">
        <v>91</v>
      </c>
      <c r="E6" s="165">
        <v>18.600000000000001</v>
      </c>
      <c r="F6" s="166">
        <f>ROUND(E6*C6,2)</f>
        <v>23104.73</v>
      </c>
      <c r="G6" s="169"/>
    </row>
    <row r="7" spans="1:7" ht="199.5">
      <c r="A7" s="167" t="str">
        <f>[9]Estimate!A11</f>
        <v xml:space="preserve">3.   RCD 5.03 (i) </v>
      </c>
      <c r="B7" s="168" t="s">
        <v>257</v>
      </c>
      <c r="C7" s="165">
        <v>32.18</v>
      </c>
      <c r="D7" s="163" t="s">
        <v>94</v>
      </c>
      <c r="E7" s="170">
        <v>7320.3</v>
      </c>
      <c r="F7" s="166">
        <f t="shared" ref="F7:F8" si="0">ROUND(E7*C7,2)</f>
        <v>235567.25</v>
      </c>
      <c r="G7" s="159"/>
    </row>
    <row r="8" spans="1:7" ht="173.25" customHeight="1">
      <c r="A8" s="167" t="str">
        <f>[9]Estimate!A18</f>
        <v xml:space="preserve">4.    RCD  5.05 (A) </v>
      </c>
      <c r="B8" s="168" t="s">
        <v>258</v>
      </c>
      <c r="C8" s="165">
        <v>24.6</v>
      </c>
      <c r="D8" s="171" t="s">
        <v>94</v>
      </c>
      <c r="E8" s="170">
        <v>10656</v>
      </c>
      <c r="F8" s="166">
        <f t="shared" si="0"/>
        <v>262137.60000000001</v>
      </c>
      <c r="G8" s="159"/>
    </row>
    <row r="9" spans="1:7" ht="142.5">
      <c r="A9" s="167" t="str">
        <f>[9]Estimate!A23</f>
        <v xml:space="preserve">5.   RCD  8.13 </v>
      </c>
      <c r="B9" s="168" t="s">
        <v>259</v>
      </c>
      <c r="C9" s="165">
        <v>28.22</v>
      </c>
      <c r="D9" s="163" t="s">
        <v>91</v>
      </c>
      <c r="E9" s="165">
        <v>584.29999999999995</v>
      </c>
      <c r="F9" s="166">
        <f>ROUND(E9*C9,2)</f>
        <v>16488.95</v>
      </c>
      <c r="G9" s="159"/>
    </row>
    <row r="10" spans="1:7">
      <c r="A10" s="163">
        <v>6</v>
      </c>
      <c r="B10" s="172" t="s">
        <v>144</v>
      </c>
      <c r="C10" s="173"/>
      <c r="D10" s="173"/>
      <c r="E10" s="174"/>
      <c r="F10" s="166"/>
      <c r="G10" s="159"/>
    </row>
    <row r="11" spans="1:7" ht="25.5" customHeight="1">
      <c r="A11" s="163" t="s">
        <v>13</v>
      </c>
      <c r="B11" s="175" t="s">
        <v>260</v>
      </c>
      <c r="C11" s="165">
        <v>82.02</v>
      </c>
      <c r="D11" s="163" t="s">
        <v>94</v>
      </c>
      <c r="E11" s="176">
        <v>447.06</v>
      </c>
      <c r="F11" s="166">
        <f>ROUND(E11*C11,2)</f>
        <v>36667.86</v>
      </c>
      <c r="G11" s="159"/>
    </row>
    <row r="12" spans="1:7" ht="25.5" customHeight="1">
      <c r="A12" s="173"/>
      <c r="B12" s="173"/>
      <c r="C12" s="173"/>
      <c r="D12" s="173"/>
      <c r="E12" s="174" t="s">
        <v>24</v>
      </c>
      <c r="F12" s="166">
        <f>SUM(F5:F11)</f>
        <v>575600.64000000001</v>
      </c>
      <c r="G12" s="159"/>
    </row>
    <row r="13" spans="1:7" ht="25.5" customHeight="1">
      <c r="A13" s="178"/>
      <c r="B13" s="418" t="s">
        <v>25</v>
      </c>
      <c r="C13" s="419"/>
      <c r="D13" s="419"/>
      <c r="E13" s="420"/>
      <c r="F13" s="26">
        <f>F12*0.18</f>
        <v>103608.1152</v>
      </c>
      <c r="G13" s="159"/>
    </row>
    <row r="14" spans="1:7" ht="25.5" customHeight="1">
      <c r="A14" s="178"/>
      <c r="B14" s="418" t="s">
        <v>24</v>
      </c>
      <c r="C14" s="419"/>
      <c r="D14" s="419"/>
      <c r="E14" s="420"/>
      <c r="F14" s="26">
        <f>F13+F12</f>
        <v>679208.75520000001</v>
      </c>
      <c r="G14" s="159"/>
    </row>
    <row r="15" spans="1:7" ht="25.5" customHeight="1">
      <c r="A15" s="178"/>
      <c r="B15" s="418" t="s">
        <v>71</v>
      </c>
      <c r="C15" s="419"/>
      <c r="D15" s="419"/>
      <c r="E15" s="420"/>
      <c r="F15" s="26">
        <f>F14*0.01</f>
        <v>6792.087552</v>
      </c>
      <c r="G15" s="159"/>
    </row>
    <row r="16" spans="1:7" ht="25.5" customHeight="1">
      <c r="A16" s="178"/>
      <c r="B16" s="411" t="s">
        <v>254</v>
      </c>
      <c r="C16" s="412"/>
      <c r="D16" s="412"/>
      <c r="E16" s="413"/>
      <c r="F16" s="134">
        <f>F15+F14</f>
        <v>686000.84275199997</v>
      </c>
      <c r="G16" s="159"/>
    </row>
    <row r="17" spans="1:7">
      <c r="A17" s="179"/>
      <c r="B17" s="159"/>
      <c r="C17" s="159"/>
      <c r="D17" s="159"/>
      <c r="E17" s="159"/>
      <c r="F17" s="159"/>
      <c r="G17" s="159"/>
    </row>
    <row r="18" spans="1:7">
      <c r="A18" s="180"/>
      <c r="B18" s="159"/>
      <c r="C18" s="159"/>
      <c r="D18" s="159"/>
      <c r="E18" s="159"/>
      <c r="F18" s="159"/>
      <c r="G18" s="159"/>
    </row>
    <row r="19" spans="1:7" ht="21">
      <c r="A19" s="159"/>
      <c r="B19" s="181"/>
      <c r="C19" s="181"/>
      <c r="D19" s="181"/>
      <c r="E19" s="182"/>
      <c r="F19" s="19"/>
      <c r="G19" s="159"/>
    </row>
    <row r="20" spans="1:7">
      <c r="A20" s="159"/>
      <c r="B20" s="159"/>
      <c r="C20" s="159"/>
      <c r="D20" s="159"/>
      <c r="E20" s="183"/>
      <c r="F20" s="184"/>
      <c r="G20" s="159"/>
    </row>
  </sheetData>
  <mergeCells count="7">
    <mergeCell ref="B16:E16"/>
    <mergeCell ref="A1:F1"/>
    <mergeCell ref="A2:F2"/>
    <mergeCell ref="A3:F3"/>
    <mergeCell ref="B13:E13"/>
    <mergeCell ref="B14:E14"/>
    <mergeCell ref="B15:E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32"/>
  <sheetViews>
    <sheetView topLeftCell="A19" workbookViewId="0">
      <selection activeCell="F28" sqref="F28"/>
    </sheetView>
  </sheetViews>
  <sheetFormatPr defaultRowHeight="15"/>
  <cols>
    <col min="1" max="1" width="7.85546875" customWidth="1"/>
    <col min="2" max="2" width="50.28515625" customWidth="1"/>
    <col min="3" max="3" width="12.5703125" customWidth="1"/>
    <col min="4" max="4" width="8.85546875" customWidth="1"/>
    <col min="5" max="5" width="14.28515625" customWidth="1"/>
    <col min="6" max="6" width="24.85546875" customWidth="1"/>
  </cols>
  <sheetData>
    <row r="1" spans="1:7" ht="27">
      <c r="A1" s="414" t="s">
        <v>0</v>
      </c>
      <c r="B1" s="414"/>
      <c r="C1" s="414"/>
      <c r="D1" s="414"/>
      <c r="E1" s="414"/>
      <c r="F1" s="414"/>
      <c r="G1" s="159"/>
    </row>
    <row r="2" spans="1:7" ht="25.5" customHeight="1">
      <c r="A2" s="415" t="s">
        <v>75</v>
      </c>
      <c r="B2" s="416"/>
      <c r="C2" s="416"/>
      <c r="D2" s="416"/>
      <c r="E2" s="416"/>
      <c r="F2" s="416"/>
      <c r="G2" s="159"/>
    </row>
    <row r="3" spans="1:7" ht="57.75" customHeight="1">
      <c r="A3" s="421" t="s">
        <v>390</v>
      </c>
      <c r="B3" s="421"/>
      <c r="C3" s="421"/>
      <c r="D3" s="421"/>
      <c r="E3" s="421"/>
      <c r="F3" s="421"/>
      <c r="G3" s="159"/>
    </row>
    <row r="4" spans="1:7">
      <c r="A4" s="160" t="s">
        <v>234</v>
      </c>
      <c r="B4" s="160" t="s">
        <v>235</v>
      </c>
      <c r="C4" s="160" t="s">
        <v>236</v>
      </c>
      <c r="D4" s="160" t="s">
        <v>5</v>
      </c>
      <c r="E4" s="161" t="s">
        <v>38</v>
      </c>
      <c r="F4" s="162" t="s">
        <v>39</v>
      </c>
      <c r="G4" s="159"/>
    </row>
    <row r="5" spans="1:7" ht="54.75" customHeight="1">
      <c r="A5" s="163">
        <v>1</v>
      </c>
      <c r="B5" s="164" t="s">
        <v>40</v>
      </c>
      <c r="C5" s="163">
        <v>5</v>
      </c>
      <c r="D5" s="163" t="s">
        <v>41</v>
      </c>
      <c r="E5" s="165">
        <v>326.85000000000002</v>
      </c>
      <c r="F5" s="166">
        <f>C5*E5</f>
        <v>1634.25</v>
      </c>
      <c r="G5" s="159"/>
    </row>
    <row r="6" spans="1:7" ht="140.25" customHeight="1">
      <c r="A6" s="167" t="str">
        <f>'[10]DETAILED ESTIMATE'!$A$5</f>
        <v>2.       (J.B.C.D 5.1.1+ 5.1.2)</v>
      </c>
      <c r="B6" s="168" t="str">
        <f>'[10]DETAILED ESTIMATE'!$B$5</f>
        <v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v>
      </c>
      <c r="C6" s="165">
        <v>36.159999999999997</v>
      </c>
      <c r="D6" s="163" t="s">
        <v>94</v>
      </c>
      <c r="E6" s="165">
        <f>'[10]DETAILED ESTIMATE'!$I$9</f>
        <v>151.82</v>
      </c>
      <c r="F6" s="166">
        <f t="shared" ref="F6:F23" si="0">C6*E6</f>
        <v>5489.8111999999992</v>
      </c>
      <c r="G6" s="169"/>
    </row>
    <row r="7" spans="1:7" ht="109.5" customHeight="1">
      <c r="A7" s="167" t="s">
        <v>237</v>
      </c>
      <c r="B7" s="168" t="str">
        <f>'[10]DETAILED ESTIMATE'!$B$10</f>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
      <c r="C7" s="165">
        <v>3.4</v>
      </c>
      <c r="D7" s="163" t="s">
        <v>94</v>
      </c>
      <c r="E7" s="170">
        <v>589.51</v>
      </c>
      <c r="F7" s="166">
        <f t="shared" si="0"/>
        <v>2004.3339999999998</v>
      </c>
      <c r="G7" s="159"/>
    </row>
    <row r="8" spans="1:7" ht="78" customHeight="1">
      <c r="A8" s="167" t="s">
        <v>238</v>
      </c>
      <c r="B8" s="168" t="str">
        <f>'[10]DETAILED ESTIMATE'!$B$15</f>
        <v xml:space="preserve"> Supplying and laying (properly as per design and drawing )rip-rap with good quality of boulders duly packed including the cost of materials,royalty all taxes etc.but excluding the cost of carriage, all complete as per specification and direction of E/I.</v>
      </c>
      <c r="C8" s="165">
        <v>5.57</v>
      </c>
      <c r="D8" s="171" t="s">
        <v>94</v>
      </c>
      <c r="E8" s="170">
        <v>1756.4</v>
      </c>
      <c r="F8" s="166">
        <f t="shared" si="0"/>
        <v>9783.148000000001</v>
      </c>
      <c r="G8" s="159"/>
    </row>
    <row r="9" spans="1:7" ht="97.5" customHeight="1">
      <c r="A9" s="167" t="str">
        <f>'[10]DETAILED ESTIMATE'!$A$20</f>
        <v>5.             J.B.C.D.  5.3.10</v>
      </c>
      <c r="B9" s="168" t="str">
        <f>'[10]DETAILED ESTIMATE'!$B$20</f>
        <v>Reinforced cement concrete work in walls (any thickness), including attached pilasters, piers, abutments, posts and struts etc.above plinth level, excluding cost of centering, shuttering, finishing and reinforce:      1:1.5:3 (1 cement:1.5:coarse sand (zone-III):3 graded stone aggregate 20 mm nominal size)</v>
      </c>
      <c r="C9" s="165">
        <v>14.95</v>
      </c>
      <c r="D9" s="171" t="s">
        <v>94</v>
      </c>
      <c r="E9" s="165">
        <v>6082.45</v>
      </c>
      <c r="F9" s="166">
        <f t="shared" si="0"/>
        <v>90932.627499999988</v>
      </c>
      <c r="G9" s="159"/>
    </row>
    <row r="10" spans="1:7" ht="71.25">
      <c r="A10" s="167" t="str">
        <f>'[10]DETAILED ESTIMATE'!$A$25</f>
        <v>6.   (J.B.C.D.-5.5.4  + 5.5.5a</v>
      </c>
      <c r="B10" s="168" t="str">
        <f>'[10]DETAILED ESTIMATE'!$B$25</f>
        <v xml:space="preserve">Providing Tor steel reinforcement of 10mm and 8mm dia bars as per approved design and drawing -----do-----do-----(a)10mm(TMT coil Fe 500)(Only valid for SAIL , TATA Steel) @2.5Kg/cft  </v>
      </c>
      <c r="C10" s="165"/>
      <c r="D10" s="163"/>
      <c r="E10" s="165"/>
      <c r="F10" s="166"/>
      <c r="G10" s="159"/>
    </row>
    <row r="11" spans="1:7">
      <c r="A11" s="167"/>
      <c r="B11" s="168" t="s">
        <v>239</v>
      </c>
      <c r="C11" s="165">
        <v>0.59</v>
      </c>
      <c r="D11" s="163" t="s">
        <v>10</v>
      </c>
      <c r="E11" s="165">
        <v>83314.02</v>
      </c>
      <c r="F11" s="166">
        <f t="shared" si="0"/>
        <v>49155.271800000002</v>
      </c>
      <c r="G11" s="159"/>
    </row>
    <row r="12" spans="1:7">
      <c r="A12" s="167"/>
      <c r="B12" s="168" t="s">
        <v>240</v>
      </c>
      <c r="C12" s="165">
        <v>0.73</v>
      </c>
      <c r="D12" s="163" t="s">
        <v>10</v>
      </c>
      <c r="E12" s="165">
        <v>82096.539999999994</v>
      </c>
      <c r="F12" s="166">
        <f t="shared" si="0"/>
        <v>59930.474199999997</v>
      </c>
      <c r="G12" s="159"/>
    </row>
    <row r="13" spans="1:7">
      <c r="A13" s="167"/>
      <c r="B13" s="168"/>
      <c r="C13" s="165"/>
      <c r="D13" s="163"/>
      <c r="E13" s="165" t="s">
        <v>241</v>
      </c>
      <c r="F13" s="166">
        <f>SUM(F5:F12)</f>
        <v>218929.9167</v>
      </c>
      <c r="G13" s="159"/>
    </row>
    <row r="14" spans="1:7">
      <c r="A14" s="167"/>
      <c r="B14" s="168"/>
      <c r="C14" s="165"/>
      <c r="D14" s="163"/>
      <c r="E14" s="165" t="s">
        <v>242</v>
      </c>
      <c r="F14" s="166">
        <f>F13</f>
        <v>218929.9167</v>
      </c>
      <c r="G14" s="159"/>
    </row>
    <row r="15" spans="1:7" ht="60" customHeight="1">
      <c r="A15" s="167" t="s">
        <v>243</v>
      </c>
      <c r="B15" s="168" t="str">
        <f>'[10]DETAILED ESTIMATE'!$B$44</f>
        <v>Providing  Precast R.C.C M 200 in nominal mix (1:1.5:3) in slab ……..do…..all complete as per specification and direction of E/I.</v>
      </c>
      <c r="C15" s="165">
        <v>4.53</v>
      </c>
      <c r="D15" s="163" t="s">
        <v>94</v>
      </c>
      <c r="E15" s="165">
        <v>6308.87</v>
      </c>
      <c r="F15" s="166">
        <f t="shared" si="0"/>
        <v>28579.181100000002</v>
      </c>
      <c r="G15" s="159"/>
    </row>
    <row r="16" spans="1:7" ht="42.75">
      <c r="A16" s="167" t="s">
        <v>244</v>
      </c>
      <c r="B16" s="168" t="str">
        <f>'[10]DETAILED ESTIMATE'!$B$49</f>
        <v>Providing  Tor steel reinforcement of 10mm dia  bars as per approved design and drawing –do-- --do—</v>
      </c>
      <c r="C16" s="165">
        <v>0.4</v>
      </c>
      <c r="D16" s="163" t="s">
        <v>10</v>
      </c>
      <c r="E16" s="165">
        <v>82096.539999999994</v>
      </c>
      <c r="F16" s="166">
        <f t="shared" si="0"/>
        <v>32838.616000000002</v>
      </c>
      <c r="G16" s="159"/>
    </row>
    <row r="17" spans="1:7" ht="57">
      <c r="A17" s="167" t="s">
        <v>245</v>
      </c>
      <c r="B17" s="168" t="str">
        <f>'[10]DETAILED ESTIMATE'!$B$53</f>
        <v>Centering and shuttering including strutting, propping etc . And removal of form for foundation ,footings, base of columns, etc. for mass concrete</v>
      </c>
      <c r="C17" s="165">
        <v>136.05000000000001</v>
      </c>
      <c r="D17" s="163" t="s">
        <v>91</v>
      </c>
      <c r="E17" s="165">
        <v>194.5</v>
      </c>
      <c r="F17" s="166">
        <f t="shared" si="0"/>
        <v>26461.725000000002</v>
      </c>
      <c r="G17" s="159"/>
    </row>
    <row r="18" spans="1:7">
      <c r="A18" s="163">
        <v>10</v>
      </c>
      <c r="B18" s="172" t="s">
        <v>144</v>
      </c>
      <c r="C18" s="173"/>
      <c r="D18" s="173"/>
      <c r="E18" s="174"/>
      <c r="F18" s="166"/>
      <c r="G18" s="159"/>
    </row>
    <row r="19" spans="1:7" ht="25.5" customHeight="1">
      <c r="A19" s="163" t="s">
        <v>145</v>
      </c>
      <c r="B19" s="175" t="s">
        <v>246</v>
      </c>
      <c r="C19" s="165">
        <v>8.3800000000000008</v>
      </c>
      <c r="D19" s="163" t="s">
        <v>94</v>
      </c>
      <c r="E19" s="176">
        <v>848.82</v>
      </c>
      <c r="F19" s="166">
        <f t="shared" si="0"/>
        <v>7113.1116000000011</v>
      </c>
      <c r="G19" s="159"/>
    </row>
    <row r="20" spans="1:7" ht="25.5" customHeight="1">
      <c r="A20" s="163" t="s">
        <v>147</v>
      </c>
      <c r="B20" s="175" t="s">
        <v>247</v>
      </c>
      <c r="C20" s="165">
        <f>C7</f>
        <v>3.4</v>
      </c>
      <c r="D20" s="163" t="s">
        <v>248</v>
      </c>
      <c r="E20" s="176">
        <v>313.14</v>
      </c>
      <c r="F20" s="166">
        <f t="shared" si="0"/>
        <v>1064.6759999999999</v>
      </c>
      <c r="G20" s="159"/>
    </row>
    <row r="21" spans="1:7" ht="25.5" customHeight="1">
      <c r="A21" s="163" t="s">
        <v>149</v>
      </c>
      <c r="B21" s="177" t="s">
        <v>249</v>
      </c>
      <c r="C21" s="165">
        <v>16.75</v>
      </c>
      <c r="D21" s="163" t="s">
        <v>250</v>
      </c>
      <c r="E21" s="176">
        <v>447.06</v>
      </c>
      <c r="F21" s="166">
        <f t="shared" si="0"/>
        <v>7488.2550000000001</v>
      </c>
      <c r="G21" s="159"/>
    </row>
    <row r="22" spans="1:7" ht="25.5" customHeight="1">
      <c r="A22" s="163" t="s">
        <v>204</v>
      </c>
      <c r="B22" s="177" t="s">
        <v>251</v>
      </c>
      <c r="C22" s="165">
        <f>C8</f>
        <v>5.57</v>
      </c>
      <c r="D22" s="163" t="s">
        <v>252</v>
      </c>
      <c r="E22" s="176">
        <v>679.66</v>
      </c>
      <c r="F22" s="166">
        <f t="shared" si="0"/>
        <v>3785.7062000000001</v>
      </c>
      <c r="G22" s="159"/>
    </row>
    <row r="23" spans="1:7" ht="25.5" customHeight="1">
      <c r="A23" s="163" t="s">
        <v>206</v>
      </c>
      <c r="B23" s="175" t="str">
        <f>'[10]DETAILED ESTIMATE'!$B$64</f>
        <v>EARTH-LEAD-1km</v>
      </c>
      <c r="C23" s="165">
        <f>C6</f>
        <v>36.159999999999997</v>
      </c>
      <c r="D23" s="163" t="s">
        <v>253</v>
      </c>
      <c r="E23" s="176">
        <v>117.54</v>
      </c>
      <c r="F23" s="166">
        <f t="shared" si="0"/>
        <v>4250.2464</v>
      </c>
      <c r="G23" s="159"/>
    </row>
    <row r="24" spans="1:7" ht="25.5" customHeight="1">
      <c r="A24" s="173"/>
      <c r="B24" s="173"/>
      <c r="C24" s="173"/>
      <c r="D24" s="173"/>
      <c r="E24" s="174" t="s">
        <v>24</v>
      </c>
      <c r="F24" s="166">
        <f>SUM(F14:F23)</f>
        <v>330511.43399999995</v>
      </c>
      <c r="G24" s="159"/>
    </row>
    <row r="25" spans="1:7" ht="25.5" customHeight="1">
      <c r="A25" s="178"/>
      <c r="B25" s="418" t="s">
        <v>25</v>
      </c>
      <c r="C25" s="419"/>
      <c r="D25" s="419"/>
      <c r="E25" s="420"/>
      <c r="F25" s="26">
        <f>F24*0.18</f>
        <v>59492.058119999987</v>
      </c>
      <c r="G25" s="159"/>
    </row>
    <row r="26" spans="1:7" ht="25.5" customHeight="1">
      <c r="A26" s="178"/>
      <c r="B26" s="418" t="s">
        <v>24</v>
      </c>
      <c r="C26" s="419"/>
      <c r="D26" s="419"/>
      <c r="E26" s="420"/>
      <c r="F26" s="26">
        <f>F25+F24</f>
        <v>390003.49211999995</v>
      </c>
      <c r="G26" s="159"/>
    </row>
    <row r="27" spans="1:7" ht="25.5" customHeight="1">
      <c r="A27" s="178"/>
      <c r="B27" s="418" t="s">
        <v>71</v>
      </c>
      <c r="C27" s="419"/>
      <c r="D27" s="419"/>
      <c r="E27" s="420"/>
      <c r="F27" s="26">
        <f>F26*0.01</f>
        <v>3900.0349211999996</v>
      </c>
      <c r="G27" s="159"/>
    </row>
    <row r="28" spans="1:7" ht="25.5" customHeight="1">
      <c r="A28" s="178"/>
      <c r="B28" s="411" t="s">
        <v>254</v>
      </c>
      <c r="C28" s="412"/>
      <c r="D28" s="412"/>
      <c r="E28" s="413"/>
      <c r="F28" s="134">
        <f>F27+F26</f>
        <v>393903.52704119997</v>
      </c>
      <c r="G28" s="159"/>
    </row>
    <row r="29" spans="1:7">
      <c r="A29" s="179"/>
      <c r="B29" s="159"/>
      <c r="C29" s="159"/>
      <c r="D29" s="159"/>
      <c r="E29" s="159"/>
      <c r="F29" s="159"/>
      <c r="G29" s="159"/>
    </row>
    <row r="30" spans="1:7">
      <c r="A30" s="180"/>
      <c r="B30" s="159"/>
      <c r="C30" s="159"/>
      <c r="D30" s="159"/>
      <c r="E30" s="159"/>
      <c r="F30" s="159"/>
      <c r="G30" s="159"/>
    </row>
    <row r="31" spans="1:7" ht="21">
      <c r="A31" s="159"/>
      <c r="B31" s="181"/>
      <c r="C31" s="181"/>
      <c r="D31" s="181"/>
      <c r="E31" s="182"/>
      <c r="F31" s="19"/>
      <c r="G31" s="159"/>
    </row>
    <row r="32" spans="1:7">
      <c r="A32" s="159"/>
      <c r="B32" s="159"/>
      <c r="C32" s="159"/>
      <c r="D32" s="159"/>
      <c r="E32" s="183"/>
      <c r="F32" s="184"/>
      <c r="G32" s="159"/>
    </row>
  </sheetData>
  <mergeCells count="7">
    <mergeCell ref="B28:E28"/>
    <mergeCell ref="A1:F1"/>
    <mergeCell ref="A2:F2"/>
    <mergeCell ref="A3:F3"/>
    <mergeCell ref="B25:E25"/>
    <mergeCell ref="B26:E26"/>
    <mergeCell ref="B27:E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25"/>
  <sheetViews>
    <sheetView topLeftCell="A13" workbookViewId="0">
      <selection activeCell="A3" sqref="A3:F3"/>
    </sheetView>
  </sheetViews>
  <sheetFormatPr defaultRowHeight="15"/>
  <cols>
    <col min="1" max="1" width="8.85546875" style="30" customWidth="1"/>
    <col min="2" max="2" width="42.85546875" style="31" customWidth="1"/>
    <col min="3" max="3" width="13.7109375" style="23" bestFit="1" customWidth="1"/>
    <col min="4" max="4" width="9.140625" style="32"/>
    <col min="5" max="5" width="12.140625" style="23" customWidth="1"/>
    <col min="6" max="6" width="16.42578125" style="33" customWidth="1"/>
    <col min="7" max="7" width="22.140625" style="23" hidden="1" customWidth="1"/>
    <col min="8" max="16384" width="9.140625" style="23"/>
  </cols>
  <sheetData>
    <row r="1" spans="1:6" ht="18.75">
      <c r="A1" s="380" t="s">
        <v>0</v>
      </c>
      <c r="B1" s="380"/>
      <c r="C1" s="380"/>
      <c r="D1" s="380"/>
      <c r="E1" s="380"/>
      <c r="F1" s="380"/>
    </row>
    <row r="2" spans="1:6" ht="18.75">
      <c r="A2" s="380" t="s">
        <v>33</v>
      </c>
      <c r="B2" s="380"/>
      <c r="C2" s="380"/>
      <c r="D2" s="380"/>
      <c r="E2" s="380"/>
      <c r="F2" s="380"/>
    </row>
    <row r="3" spans="1:6" ht="51.75" customHeight="1">
      <c r="A3" s="422" t="s">
        <v>34</v>
      </c>
      <c r="B3" s="423"/>
      <c r="C3" s="423"/>
      <c r="D3" s="423"/>
      <c r="E3" s="423"/>
      <c r="F3" s="424"/>
    </row>
    <row r="4" spans="1:6">
      <c r="A4" s="24" t="s">
        <v>35</v>
      </c>
      <c r="B4" s="24" t="s">
        <v>36</v>
      </c>
      <c r="C4" s="24" t="s">
        <v>37</v>
      </c>
      <c r="D4" s="24" t="s">
        <v>5</v>
      </c>
      <c r="E4" s="24" t="s">
        <v>38</v>
      </c>
      <c r="F4" s="24" t="s">
        <v>39</v>
      </c>
    </row>
    <row r="5" spans="1:6" ht="30">
      <c r="A5" s="25">
        <v>1</v>
      </c>
      <c r="B5" s="26" t="s">
        <v>40</v>
      </c>
      <c r="C5" s="26">
        <v>5</v>
      </c>
      <c r="D5" s="26" t="s">
        <v>41</v>
      </c>
      <c r="E5" s="26">
        <v>326.85000000000002</v>
      </c>
      <c r="F5" s="26">
        <f>C5*E5</f>
        <v>1634.25</v>
      </c>
    </row>
    <row r="6" spans="1:6" ht="45">
      <c r="A6" s="26" t="s">
        <v>42</v>
      </c>
      <c r="B6" s="26" t="s">
        <v>43</v>
      </c>
      <c r="C6" s="26">
        <v>4.93</v>
      </c>
      <c r="D6" s="26" t="s">
        <v>15</v>
      </c>
      <c r="E6" s="26">
        <v>955.89</v>
      </c>
      <c r="F6" s="26">
        <f t="shared" ref="F6:F20" si="0">C6*E6</f>
        <v>4712.5376999999999</v>
      </c>
    </row>
    <row r="7" spans="1:6" ht="120">
      <c r="A7" s="26" t="s">
        <v>44</v>
      </c>
      <c r="B7" s="26" t="s">
        <v>9</v>
      </c>
      <c r="C7" s="26">
        <v>39.92</v>
      </c>
      <c r="D7" s="26" t="s">
        <v>15</v>
      </c>
      <c r="E7" s="26">
        <v>151.82</v>
      </c>
      <c r="F7" s="26">
        <f t="shared" si="0"/>
        <v>6060.6544000000004</v>
      </c>
    </row>
    <row r="8" spans="1:6" ht="120">
      <c r="A8" s="26" t="s">
        <v>45</v>
      </c>
      <c r="B8" s="26" t="s">
        <v>46</v>
      </c>
      <c r="C8" s="26">
        <v>3.99</v>
      </c>
      <c r="D8" s="26" t="s">
        <v>15</v>
      </c>
      <c r="E8" s="26">
        <v>589.51</v>
      </c>
      <c r="F8" s="26">
        <f t="shared" si="0"/>
        <v>2352.1449000000002</v>
      </c>
    </row>
    <row r="9" spans="1:6" ht="90">
      <c r="A9" s="26" t="s">
        <v>47</v>
      </c>
      <c r="B9" s="26" t="s">
        <v>48</v>
      </c>
      <c r="C9" s="26">
        <v>6.55</v>
      </c>
      <c r="D9" s="26" t="s">
        <v>15</v>
      </c>
      <c r="E9" s="26">
        <v>1756.4</v>
      </c>
      <c r="F9" s="26">
        <f t="shared" si="0"/>
        <v>11504.42</v>
      </c>
    </row>
    <row r="10" spans="1:6" ht="135">
      <c r="A10" s="26" t="s">
        <v>49</v>
      </c>
      <c r="B10" s="26" t="s">
        <v>50</v>
      </c>
      <c r="C10" s="26">
        <v>19.77</v>
      </c>
      <c r="D10" s="26" t="s">
        <v>15</v>
      </c>
      <c r="E10" s="26">
        <v>6082.45</v>
      </c>
      <c r="F10" s="26">
        <f t="shared" si="0"/>
        <v>120250.03649999999</v>
      </c>
    </row>
    <row r="11" spans="1:6" ht="135">
      <c r="A11" s="26" t="s">
        <v>51</v>
      </c>
      <c r="B11" s="26" t="s">
        <v>52</v>
      </c>
      <c r="C11" s="26">
        <v>5.89</v>
      </c>
      <c r="D11" s="26" t="s">
        <v>15</v>
      </c>
      <c r="E11" s="26">
        <v>6308.87</v>
      </c>
      <c r="F11" s="26">
        <f t="shared" si="0"/>
        <v>37159.244299999998</v>
      </c>
    </row>
    <row r="12" spans="1:6" ht="180">
      <c r="A12" s="26">
        <v>8</v>
      </c>
      <c r="B12" s="26" t="s">
        <v>53</v>
      </c>
      <c r="C12" s="26">
        <v>0.92</v>
      </c>
      <c r="D12" s="26" t="s">
        <v>10</v>
      </c>
      <c r="E12" s="26">
        <v>83314.02</v>
      </c>
      <c r="F12" s="26">
        <f t="shared" si="0"/>
        <v>76648.898400000005</v>
      </c>
    </row>
    <row r="13" spans="1:6">
      <c r="A13" s="26" t="s">
        <v>54</v>
      </c>
      <c r="B13" s="26" t="s">
        <v>55</v>
      </c>
      <c r="C13" s="26">
        <v>1.1200000000000001</v>
      </c>
      <c r="D13" s="26" t="s">
        <v>10</v>
      </c>
      <c r="E13" s="26">
        <v>82096.539999999994</v>
      </c>
      <c r="F13" s="26">
        <f t="shared" si="0"/>
        <v>91948.124800000005</v>
      </c>
    </row>
    <row r="14" spans="1:6" ht="60">
      <c r="A14" s="26" t="s">
        <v>56</v>
      </c>
      <c r="B14" s="26" t="s">
        <v>57</v>
      </c>
      <c r="C14" s="26">
        <v>182.16</v>
      </c>
      <c r="D14" s="26" t="s">
        <v>11</v>
      </c>
      <c r="E14" s="26">
        <v>194.5</v>
      </c>
      <c r="F14" s="26">
        <f t="shared" si="0"/>
        <v>35430.120000000003</v>
      </c>
    </row>
    <row r="15" spans="1:6">
      <c r="A15" s="26">
        <v>10</v>
      </c>
      <c r="B15" s="26" t="s">
        <v>12</v>
      </c>
      <c r="C15" s="26"/>
      <c r="D15" s="26"/>
      <c r="E15" s="26"/>
      <c r="F15" s="26"/>
    </row>
    <row r="16" spans="1:6">
      <c r="A16" s="26" t="s">
        <v>13</v>
      </c>
      <c r="B16" s="26" t="s">
        <v>14</v>
      </c>
      <c r="C16" s="26">
        <v>11.03</v>
      </c>
      <c r="D16" s="26" t="s">
        <v>15</v>
      </c>
      <c r="E16" s="26">
        <v>848.82</v>
      </c>
      <c r="F16" s="26">
        <f t="shared" si="0"/>
        <v>9362.4845999999998</v>
      </c>
    </row>
    <row r="17" spans="1:6">
      <c r="A17" s="26" t="s">
        <v>16</v>
      </c>
      <c r="B17" s="26" t="s">
        <v>58</v>
      </c>
      <c r="C17" s="26">
        <v>3.99</v>
      </c>
      <c r="D17" s="26" t="s">
        <v>15</v>
      </c>
      <c r="E17" s="26">
        <v>328.02</v>
      </c>
      <c r="F17" s="26">
        <f t="shared" si="0"/>
        <v>1308.7998</v>
      </c>
    </row>
    <row r="18" spans="1:6">
      <c r="A18" s="26" t="s">
        <v>18</v>
      </c>
      <c r="B18" s="26" t="s">
        <v>19</v>
      </c>
      <c r="C18" s="26">
        <v>6.55</v>
      </c>
      <c r="D18" s="26" t="s">
        <v>15</v>
      </c>
      <c r="E18" s="26">
        <v>679.66</v>
      </c>
      <c r="F18" s="26">
        <f t="shared" si="0"/>
        <v>4451.7729999999992</v>
      </c>
    </row>
    <row r="19" spans="1:6">
      <c r="A19" s="26" t="s">
        <v>20</v>
      </c>
      <c r="B19" s="26" t="s">
        <v>21</v>
      </c>
      <c r="C19" s="26">
        <v>22.07</v>
      </c>
      <c r="D19" s="26" t="s">
        <v>15</v>
      </c>
      <c r="E19" s="26">
        <v>447.06</v>
      </c>
      <c r="F19" s="26">
        <f t="shared" si="0"/>
        <v>9866.6142</v>
      </c>
    </row>
    <row r="20" spans="1:6">
      <c r="A20" s="26" t="s">
        <v>22</v>
      </c>
      <c r="B20" s="26" t="s">
        <v>23</v>
      </c>
      <c r="C20" s="26">
        <v>39.92</v>
      </c>
      <c r="D20" s="26" t="s">
        <v>15</v>
      </c>
      <c r="E20" s="26">
        <v>117.54</v>
      </c>
      <c r="F20" s="26">
        <f t="shared" si="0"/>
        <v>4692.1968000000006</v>
      </c>
    </row>
    <row r="21" spans="1:6">
      <c r="A21" s="26"/>
      <c r="B21" s="26"/>
      <c r="C21" s="26"/>
      <c r="D21" s="26"/>
      <c r="E21" s="26" t="s">
        <v>59</v>
      </c>
      <c r="F21" s="26">
        <f>SUM(F5:F20)</f>
        <v>417382.29939999996</v>
      </c>
    </row>
    <row r="22" spans="1:6">
      <c r="A22" s="27"/>
      <c r="B22" s="28"/>
      <c r="C22" s="29"/>
      <c r="D22" s="25"/>
      <c r="E22" s="26" t="s">
        <v>60</v>
      </c>
      <c r="F22" s="26">
        <f>F21*18/100</f>
        <v>75128.813891999991</v>
      </c>
    </row>
    <row r="23" spans="1:6">
      <c r="A23" s="27"/>
      <c r="B23" s="28"/>
      <c r="C23" s="29"/>
      <c r="D23" s="25"/>
      <c r="E23" s="26"/>
      <c r="F23" s="26">
        <f>F22+F21</f>
        <v>492511.11329199997</v>
      </c>
    </row>
    <row r="24" spans="1:6">
      <c r="A24" s="27"/>
      <c r="B24" s="28"/>
      <c r="C24" s="29"/>
      <c r="D24" s="25"/>
      <c r="E24" s="26" t="s">
        <v>61</v>
      </c>
      <c r="F24" s="26">
        <f>F23*1/100</f>
        <v>4925.1111329199994</v>
      </c>
    </row>
    <row r="25" spans="1:6">
      <c r="A25" s="27"/>
      <c r="B25" s="28"/>
      <c r="C25" s="29"/>
      <c r="D25" s="25"/>
      <c r="E25" s="26" t="s">
        <v>59</v>
      </c>
      <c r="F25" s="26">
        <f>F24+F23</f>
        <v>497436.22442491999</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3"/>
  <sheetViews>
    <sheetView workbookViewId="0">
      <selection activeCell="A3" sqref="A3:F3"/>
    </sheetView>
  </sheetViews>
  <sheetFormatPr defaultColWidth="9" defaultRowHeight="15"/>
  <cols>
    <col min="2" max="2" width="57.42578125" customWidth="1"/>
    <col min="3" max="3" width="9.85546875" customWidth="1"/>
    <col min="5" max="5" width="11.140625" customWidth="1"/>
    <col min="6" max="6" width="15.5703125" style="20" customWidth="1"/>
  </cols>
  <sheetData>
    <row r="1" spans="1:6" ht="18">
      <c r="A1" s="427" t="s">
        <v>0</v>
      </c>
      <c r="B1" s="428"/>
      <c r="C1" s="428"/>
      <c r="D1" s="428"/>
      <c r="E1" s="428"/>
      <c r="F1" s="429"/>
    </row>
    <row r="2" spans="1:6">
      <c r="A2" s="430" t="s">
        <v>1</v>
      </c>
      <c r="B2" s="431"/>
      <c r="C2" s="431"/>
      <c r="D2" s="431"/>
      <c r="E2" s="431"/>
      <c r="F2" s="432"/>
    </row>
    <row r="3" spans="1:6" ht="32.450000000000003" customHeight="1">
      <c r="A3" s="433" t="str">
        <f>[11]Estimate!B2</f>
        <v>Name of Work :- CONSTRUCTION OF RCC CULVERT NEAR EX. COUNCILLAR JAMIL AKTAR HOUSE UNDER WARD NO:-23</v>
      </c>
      <c r="B3" s="434"/>
      <c r="C3" s="434"/>
      <c r="D3" s="434"/>
      <c r="E3" s="434"/>
      <c r="F3" s="435"/>
    </row>
    <row r="4" spans="1:6" ht="30">
      <c r="A4" s="1" t="s">
        <v>2</v>
      </c>
      <c r="B4" s="2" t="s">
        <v>3</v>
      </c>
      <c r="C4" s="2" t="s">
        <v>4</v>
      </c>
      <c r="D4" s="2" t="s">
        <v>5</v>
      </c>
      <c r="E4" s="1" t="s">
        <v>6</v>
      </c>
      <c r="F4" s="3" t="s">
        <v>7</v>
      </c>
    </row>
    <row r="5" spans="1:6">
      <c r="A5" s="1">
        <f>[11]Estimate!A4</f>
        <v>1</v>
      </c>
      <c r="B5" s="4" t="str">
        <f>[11]Estimate!B4</f>
        <v>Labour for cleaning the work site before and after work etc.</v>
      </c>
      <c r="C5" s="5">
        <f>[11]Estimate!G4</f>
        <v>3</v>
      </c>
      <c r="D5" s="6" t="str">
        <f>[11]Estimate!H4</f>
        <v>Each</v>
      </c>
      <c r="E5" s="5">
        <f>[11]Estimate!I4</f>
        <v>326.85000000000002</v>
      </c>
      <c r="F5" s="7">
        <f t="shared" ref="F5:F15" si="0">ROUND(C5*E5,2)</f>
        <v>980.55</v>
      </c>
    </row>
    <row r="6" spans="1:6" ht="42.75">
      <c r="A6" s="1" t="str">
        <f>[11]Estimate!A5</f>
        <v>2     5.10.2</v>
      </c>
      <c r="B6" s="4" t="str">
        <f>[11]Estimate!B5</f>
        <v>Dismantling plain cement or lime concrete work including ………do…….complete as per specification and  direction of E/I.</v>
      </c>
      <c r="C6" s="5">
        <f>[11]Estimate!G9</f>
        <v>0.34</v>
      </c>
      <c r="D6" s="6" t="s">
        <v>8</v>
      </c>
      <c r="E6" s="5">
        <f>[11]Estimate!I9</f>
        <v>955.89</v>
      </c>
      <c r="F6" s="7">
        <f t="shared" si="0"/>
        <v>325</v>
      </c>
    </row>
    <row r="7" spans="1:6" ht="57">
      <c r="A7" s="1" t="str">
        <f>[11]Estimate!A10</f>
        <v>3
5.10.3</v>
      </c>
      <c r="B7" s="4" t="str">
        <f>[11]Estimate!B10</f>
        <v>Dismantling R.C.C work  including stacking serviceable materials in countable stacks within 15M.lead and disposal of unserviceable materials with all leads complete  as per direction of E/I.</v>
      </c>
      <c r="C7" s="5">
        <f>[11]Estimate!G14</f>
        <v>0.28000000000000003</v>
      </c>
      <c r="D7" s="6" t="s">
        <v>8</v>
      </c>
      <c r="E7" s="5">
        <f>[11]Estimate!I14</f>
        <v>1993.04</v>
      </c>
      <c r="F7" s="7">
        <f t="shared" si="0"/>
        <v>558.04999999999995</v>
      </c>
    </row>
    <row r="8" spans="1:6" ht="99.75">
      <c r="A8" s="1" t="str">
        <f>[11]Estimate!A15</f>
        <v xml:space="preserve">4.            5.1.1      </v>
      </c>
      <c r="B8" s="4" t="s">
        <v>9</v>
      </c>
      <c r="C8" s="5">
        <f>[11]Estimate!G19</f>
        <v>10.92</v>
      </c>
      <c r="D8" s="6" t="s">
        <v>8</v>
      </c>
      <c r="E8" s="5">
        <f>[11]Estimate!I19</f>
        <v>151.82</v>
      </c>
      <c r="F8" s="7">
        <f t="shared" si="0"/>
        <v>1657.87</v>
      </c>
    </row>
    <row r="9" spans="1:6" ht="99.75">
      <c r="A9" s="1" t="str">
        <f>[11]Estimate!A20</f>
        <v>5.           M-004</v>
      </c>
      <c r="B9" s="4" t="str">
        <f>[11]Estimate!B20</f>
        <v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
      <c r="C9" s="5">
        <f>[11]Estimate!G23</f>
        <v>0.61</v>
      </c>
      <c r="D9" s="6" t="s">
        <v>8</v>
      </c>
      <c r="E9" s="5">
        <f>[11]Estimate!I23</f>
        <v>481.67</v>
      </c>
      <c r="F9" s="7">
        <f t="shared" si="0"/>
        <v>293.82</v>
      </c>
    </row>
    <row r="10" spans="1:6" ht="62.45" customHeight="1">
      <c r="A10" s="1" t="str">
        <f>[11]Estimate!A24</f>
        <v>6
 5.6.8</v>
      </c>
      <c r="B10" s="4" t="str">
        <f>[11]Estimate!B24</f>
        <v>Supplying and laying (properly as per design and drawing) rip-rap with good  quality of boulders duly packed including the cost of materials, royalty all taxes etc. but excluding the cost of carriage all complete as per specification and direction of E/I.</v>
      </c>
      <c r="C10" s="5">
        <f>[11]Estimate!G27</f>
        <v>1.03</v>
      </c>
      <c r="D10" s="6" t="s">
        <v>8</v>
      </c>
      <c r="E10" s="5">
        <f>[11]Estimate!I27</f>
        <v>1756.4</v>
      </c>
      <c r="F10" s="7">
        <f t="shared" si="0"/>
        <v>1809.09</v>
      </c>
    </row>
    <row r="11" spans="1:6" ht="93" customHeight="1">
      <c r="A11" s="1" t="str">
        <f>[11]Estimate!A28</f>
        <v>7   5.3.2.1</v>
      </c>
      <c r="B11" s="8" t="str">
        <f>[11]Estimate!B28</f>
        <v>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v>
      </c>
      <c r="C11" s="5">
        <f>[11]Estimate!G32</f>
        <v>3.51</v>
      </c>
      <c r="D11" s="6" t="s">
        <v>8</v>
      </c>
      <c r="E11" s="5">
        <f>[11]Estimate!I32</f>
        <v>6082.45</v>
      </c>
      <c r="F11" s="7">
        <f t="shared" si="0"/>
        <v>21349.4</v>
      </c>
    </row>
    <row r="12" spans="1:6" ht="114">
      <c r="A12" s="1" t="str">
        <f>[11]Estimate!A33</f>
        <v>8                  5.3.11</v>
      </c>
      <c r="B12" s="8" t="str">
        <f>[11]Estimate!B33</f>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
      <c r="C12" s="5">
        <f>[11]Estimate!G36</f>
        <v>1.65</v>
      </c>
      <c r="D12" s="6" t="s">
        <v>8</v>
      </c>
      <c r="E12" s="5">
        <f>[11]Estimate!I36</f>
        <v>6308.87</v>
      </c>
      <c r="F12" s="7">
        <f t="shared" si="0"/>
        <v>10409.64</v>
      </c>
    </row>
    <row r="13" spans="1:6" ht="114">
      <c r="A13" s="1">
        <f>[11]Estimate!A37</f>
        <v>9</v>
      </c>
      <c r="B13" s="8" t="str">
        <f>[11]Estimate!B37</f>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
      <c r="C13" s="5">
        <f>[11]Estimate!G41</f>
        <v>0.21</v>
      </c>
      <c r="D13" s="6" t="s">
        <v>10</v>
      </c>
      <c r="E13" s="5">
        <f>[11]Estimate!I41</f>
        <v>83314.02</v>
      </c>
      <c r="F13" s="7">
        <f t="shared" si="0"/>
        <v>17495.939999999999</v>
      </c>
    </row>
    <row r="14" spans="1:6">
      <c r="A14" s="1"/>
      <c r="B14" s="8"/>
      <c r="C14" s="5">
        <f>[11]Estimate!G45</f>
        <v>0.26</v>
      </c>
      <c r="D14" s="6" t="s">
        <v>10</v>
      </c>
      <c r="E14" s="5">
        <f>[11]Estimate!I45</f>
        <v>82096.539999999994</v>
      </c>
      <c r="F14" s="7">
        <f t="shared" si="0"/>
        <v>21345.1</v>
      </c>
    </row>
    <row r="15" spans="1:6" ht="42.75">
      <c r="A15" s="1" t="str">
        <f>[11]Estimate!A46</f>
        <v>10                 5.3.17.1</v>
      </c>
      <c r="B15" s="4" t="str">
        <f>[11]Estimate!B46</f>
        <v>Centering and shuttering including strutting, propping etc. and removal of from for Foundations,footings, bases of columns, etc. for mass concrete.</v>
      </c>
      <c r="C15" s="5">
        <f>[11]Estimate!G50</f>
        <v>13.01</v>
      </c>
      <c r="D15" s="9" t="s">
        <v>11</v>
      </c>
      <c r="E15" s="1">
        <f>[11]Estimate!I50</f>
        <v>194.5</v>
      </c>
      <c r="F15" s="3">
        <f t="shared" si="0"/>
        <v>2530.4499999999998</v>
      </c>
    </row>
    <row r="16" spans="1:6">
      <c r="A16" s="1">
        <f>[11]Estimate!A51</f>
        <v>11</v>
      </c>
      <c r="B16" s="10" t="s">
        <v>12</v>
      </c>
      <c r="C16" s="6"/>
      <c r="D16" s="11"/>
      <c r="E16" s="12"/>
      <c r="F16" s="7"/>
    </row>
    <row r="17" spans="1:6">
      <c r="A17" s="13" t="s">
        <v>13</v>
      </c>
      <c r="B17" s="4" t="s">
        <v>14</v>
      </c>
      <c r="C17" s="6">
        <f>[11]Estimate!G52</f>
        <v>2.2199999999999998</v>
      </c>
      <c r="D17" s="11" t="s">
        <v>15</v>
      </c>
      <c r="E17" s="14">
        <f>[11]Estimate!I52</f>
        <v>848.82</v>
      </c>
      <c r="F17" s="7">
        <f>ROUND(C17*E17,2)</f>
        <v>1884.38</v>
      </c>
    </row>
    <row r="18" spans="1:6">
      <c r="A18" s="13" t="s">
        <v>16</v>
      </c>
      <c r="B18" s="4" t="s">
        <v>17</v>
      </c>
      <c r="C18" s="6">
        <f>[11]Estimate!G53</f>
        <v>0.61</v>
      </c>
      <c r="D18" s="11" t="s">
        <v>15</v>
      </c>
      <c r="E18" s="14">
        <f>[11]Estimate!I53</f>
        <v>447.06</v>
      </c>
      <c r="F18" s="7">
        <f>ROUND(C18*E18,2)</f>
        <v>272.70999999999998</v>
      </c>
    </row>
    <row r="19" spans="1:6">
      <c r="A19" s="13" t="s">
        <v>18</v>
      </c>
      <c r="B19" s="4" t="s">
        <v>19</v>
      </c>
      <c r="C19" s="6">
        <f>[11]Estimate!G54</f>
        <v>1.03</v>
      </c>
      <c r="D19" s="11" t="s">
        <v>15</v>
      </c>
      <c r="E19" s="14">
        <f>[11]Estimate!I54</f>
        <v>679.66</v>
      </c>
      <c r="F19" s="7">
        <f>ROUND(C19*E19,2)</f>
        <v>700.05</v>
      </c>
    </row>
    <row r="20" spans="1:6">
      <c r="A20" s="13" t="s">
        <v>20</v>
      </c>
      <c r="B20" s="4" t="s">
        <v>21</v>
      </c>
      <c r="C20" s="6">
        <f>[11]Estimate!G55</f>
        <v>4.4399999999999995</v>
      </c>
      <c r="D20" s="11" t="s">
        <v>15</v>
      </c>
      <c r="E20" s="14">
        <f>[11]Estimate!I55</f>
        <v>447.06</v>
      </c>
      <c r="F20" s="7">
        <f>ROUND(C20*E20,2)</f>
        <v>1984.95</v>
      </c>
    </row>
    <row r="21" spans="1:6">
      <c r="A21" s="13" t="s">
        <v>22</v>
      </c>
      <c r="B21" s="4" t="s">
        <v>23</v>
      </c>
      <c r="C21" s="6">
        <f>[11]Estimate!G56</f>
        <v>10.92</v>
      </c>
      <c r="D21" s="11" t="s">
        <v>15</v>
      </c>
      <c r="E21" s="14">
        <f>[11]Estimate!I56</f>
        <v>117.54</v>
      </c>
      <c r="F21" s="7">
        <f>ROUND(C21*E21,2)</f>
        <v>1283.54</v>
      </c>
    </row>
    <row r="22" spans="1:6">
      <c r="A22" s="15"/>
      <c r="B22" s="15"/>
      <c r="C22" s="425" t="s">
        <v>24</v>
      </c>
      <c r="D22" s="425"/>
      <c r="E22" s="426"/>
      <c r="F22" s="7">
        <f>SUM(F5:F21)</f>
        <v>84880.54</v>
      </c>
    </row>
    <row r="23" spans="1:6">
      <c r="A23" s="15"/>
      <c r="B23" s="15"/>
      <c r="C23" s="436" t="s">
        <v>25</v>
      </c>
      <c r="D23" s="425"/>
      <c r="E23" s="426"/>
      <c r="F23" s="7">
        <f>F22*18%</f>
        <v>15278.497199999998</v>
      </c>
    </row>
    <row r="24" spans="1:6">
      <c r="A24" s="15"/>
      <c r="B24" s="15"/>
      <c r="C24" s="436" t="s">
        <v>24</v>
      </c>
      <c r="D24" s="425"/>
      <c r="E24" s="426"/>
      <c r="F24" s="7">
        <f>SUM(F22:F23)</f>
        <v>100159.03719999999</v>
      </c>
    </row>
    <row r="25" spans="1:6">
      <c r="A25" s="15"/>
      <c r="B25" s="15"/>
      <c r="C25" s="425" t="s">
        <v>26</v>
      </c>
      <c r="D25" s="425"/>
      <c r="E25" s="426"/>
      <c r="F25" s="7">
        <f>ROUND(F24*0.01,2)</f>
        <v>1001.59</v>
      </c>
    </row>
    <row r="26" spans="1:6">
      <c r="A26" s="15"/>
      <c r="B26" s="15"/>
      <c r="C26" s="425" t="s">
        <v>24</v>
      </c>
      <c r="D26" s="425"/>
      <c r="E26" s="426"/>
      <c r="F26" s="7">
        <f>SUM(F24:F25)</f>
        <v>101160.62719999999</v>
      </c>
    </row>
    <row r="27" spans="1:6">
      <c r="A27" s="15"/>
      <c r="B27" s="15"/>
      <c r="C27" s="425" t="s">
        <v>27</v>
      </c>
      <c r="D27" s="425"/>
      <c r="E27" s="426"/>
      <c r="F27" s="7">
        <v>101161</v>
      </c>
    </row>
    <row r="28" spans="1:6" ht="18.75">
      <c r="A28" s="16"/>
      <c r="B28" s="16"/>
      <c r="C28" s="17"/>
      <c r="D28" s="17"/>
      <c r="E28" s="17"/>
      <c r="F28" s="18"/>
    </row>
    <row r="29" spans="1:6" ht="18.75">
      <c r="A29" s="16"/>
      <c r="B29" s="16"/>
      <c r="C29" s="17"/>
      <c r="D29" s="17"/>
      <c r="E29" s="17"/>
      <c r="F29" s="18"/>
    </row>
    <row r="30" spans="1:6">
      <c r="A30" s="19"/>
    </row>
    <row r="31" spans="1:6">
      <c r="A31" s="19"/>
    </row>
    <row r="32" spans="1:6" ht="18.75">
      <c r="A32" s="19"/>
      <c r="B32" s="21" t="s">
        <v>28</v>
      </c>
      <c r="C32" s="22" t="s">
        <v>29</v>
      </c>
      <c r="F32" s="18" t="s">
        <v>30</v>
      </c>
    </row>
    <row r="33" spans="1:6" ht="18.75">
      <c r="A33" s="19"/>
      <c r="B33" s="21" t="s">
        <v>31</v>
      </c>
      <c r="C33" s="22" t="s">
        <v>32</v>
      </c>
      <c r="F33" s="18" t="s">
        <v>31</v>
      </c>
    </row>
  </sheetData>
  <mergeCells count="9">
    <mergeCell ref="C25:E25"/>
    <mergeCell ref="C26:E26"/>
    <mergeCell ref="C27:E27"/>
    <mergeCell ref="A1:F1"/>
    <mergeCell ref="A2:F2"/>
    <mergeCell ref="A3:F3"/>
    <mergeCell ref="C22:E22"/>
    <mergeCell ref="C23:E23"/>
    <mergeCell ref="C24:E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28"/>
  <sheetViews>
    <sheetView workbookViewId="0">
      <selection activeCell="B6" sqref="B6"/>
    </sheetView>
  </sheetViews>
  <sheetFormatPr defaultRowHeight="15"/>
  <cols>
    <col min="2" max="2" width="51.42578125" customWidth="1"/>
    <col min="6" max="6" width="15.28515625" bestFit="1" customWidth="1"/>
  </cols>
  <sheetData>
    <row r="1" spans="1:6" ht="23.25">
      <c r="A1" s="437" t="s">
        <v>0</v>
      </c>
      <c r="B1" s="438"/>
      <c r="C1" s="438"/>
      <c r="D1" s="438"/>
      <c r="E1" s="438"/>
      <c r="F1" s="439"/>
    </row>
    <row r="2" spans="1:6" ht="18">
      <c r="A2" s="427" t="s">
        <v>1</v>
      </c>
      <c r="B2" s="428"/>
      <c r="C2" s="428"/>
      <c r="D2" s="428"/>
      <c r="E2" s="428"/>
      <c r="F2" s="429"/>
    </row>
    <row r="3" spans="1:6" ht="33" customHeight="1">
      <c r="A3" s="440" t="str">
        <f>[12]ESTIMATE!A2</f>
        <v>Name of Work :-CONSTRUCTION OF PCC ROAD AT GOWALA TOTI, BESIDE GALI MASZID AOULIYA UNDER WARD NO-23</v>
      </c>
      <c r="B3" s="441"/>
      <c r="C3" s="441"/>
      <c r="D3" s="441"/>
      <c r="E3" s="441"/>
      <c r="F3" s="442"/>
    </row>
    <row r="4" spans="1:6" ht="30">
      <c r="A4" s="1" t="s">
        <v>2</v>
      </c>
      <c r="B4" s="2" t="s">
        <v>3</v>
      </c>
      <c r="C4" s="2" t="s">
        <v>4</v>
      </c>
      <c r="D4" s="2" t="s">
        <v>5</v>
      </c>
      <c r="E4" s="1" t="s">
        <v>6</v>
      </c>
      <c r="F4" s="1" t="s">
        <v>7</v>
      </c>
    </row>
    <row r="5" spans="1:6" ht="28.5">
      <c r="A5" s="1">
        <f>[12]ESTIMATE!A4</f>
        <v>1</v>
      </c>
      <c r="B5" s="4" t="str">
        <f>[12]ESTIMATE!B4</f>
        <v>Labour for site clearence before and after the work etc.</v>
      </c>
      <c r="C5" s="5">
        <f>[12]ESTIMATE!G4</f>
        <v>1</v>
      </c>
      <c r="D5" s="6" t="str">
        <f>[12]ESTIMATE!H4</f>
        <v>No.</v>
      </c>
      <c r="E5" s="5">
        <f>[12]ESTIMATE!I4</f>
        <v>326.85000000000002</v>
      </c>
      <c r="F5" s="5">
        <f t="shared" ref="F5:F10" si="0">ROUND(C5*E5,2)</f>
        <v>326.85000000000002</v>
      </c>
    </row>
    <row r="6" spans="1:6" ht="99.75">
      <c r="A6" s="1" t="str">
        <f>[12]ESTIMATE!A5</f>
        <v>2       5.1.1.</v>
      </c>
      <c r="B6" s="4" t="str">
        <f>[12]ESTIMATE!B5</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
      <c r="C6" s="5">
        <f>[12]ESTIMATE!G8</f>
        <v>11.38</v>
      </c>
      <c r="D6" s="6" t="s">
        <v>15</v>
      </c>
      <c r="E6" s="5">
        <f>[12]ESTIMATE!I8</f>
        <v>151.82</v>
      </c>
      <c r="F6" s="5">
        <f t="shared" si="0"/>
        <v>1727.71</v>
      </c>
    </row>
    <row r="7" spans="1:6" ht="99.75">
      <c r="A7" s="1" t="str">
        <f>[12]ESTIMATE!A9</f>
        <v>3.         5.1.10</v>
      </c>
      <c r="B7" s="4" t="str">
        <f>[12]ESTIMATE!B9</f>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
      <c r="C7" s="5">
        <f>[12]ESTIMATE!G12</f>
        <v>4.25</v>
      </c>
      <c r="D7" s="6" t="s">
        <v>15</v>
      </c>
      <c r="E7" s="5">
        <f>[12]ESTIMATE!I12</f>
        <v>589.51</v>
      </c>
      <c r="F7" s="5">
        <f t="shared" si="0"/>
        <v>2505.42</v>
      </c>
    </row>
    <row r="8" spans="1:6" ht="71.25">
      <c r="A8" s="1" t="str">
        <f>[12]ESTIMATE!A13</f>
        <v>4.       5.6.8 (C.I.W.)</v>
      </c>
      <c r="B8" s="4" t="str">
        <f>[12]ESTIMATE!B13</f>
        <v>Supplying and laying (properly as per design and drawing )rip-rap with good quality of boulders duly packed including the cost of materials,royalty all taxes etc.but excluding the cost of carriage, all complete as per specification and direction of E/I.</v>
      </c>
      <c r="C8" s="5">
        <f>[12]ESTIMATE!G16</f>
        <v>7.14</v>
      </c>
      <c r="D8" s="6" t="s">
        <v>15</v>
      </c>
      <c r="E8" s="5">
        <f>[12]ESTIMATE!I16</f>
        <v>1756.4</v>
      </c>
      <c r="F8" s="5">
        <f t="shared" si="0"/>
        <v>12540.7</v>
      </c>
    </row>
    <row r="9" spans="1:6" ht="71.25">
      <c r="A9" s="1" t="str">
        <f>[12]ESTIMATE!A17</f>
        <v>5.     5.3.1.1</v>
      </c>
      <c r="B9" s="8" t="str">
        <f>[12]ESTIMATE!B17</f>
        <v xml:space="preserve">Providing and laying in position cement concrete of specified grade excluding the cost of centering and shuttering- All work upto plinth level : 1:1½:3 (1 cemet : 1½ coarse sand (zone-iii) : 3 graded stone aggregate 20mm nominal size )  </v>
      </c>
      <c r="C9" s="5">
        <f>[12]ESTIMATE!G20</f>
        <v>8.5</v>
      </c>
      <c r="D9" s="6" t="s">
        <v>15</v>
      </c>
      <c r="E9" s="5">
        <f>[12]ESTIMATE!I20</f>
        <v>4961.7299999999996</v>
      </c>
      <c r="F9" s="5">
        <f t="shared" si="0"/>
        <v>42174.71</v>
      </c>
    </row>
    <row r="10" spans="1:6" ht="42.75">
      <c r="A10" s="1" t="str">
        <f>[12]ESTIMATE!A21</f>
        <v>6               5.3.17.1</v>
      </c>
      <c r="B10" s="4" t="str">
        <f>[12]ESTIMATE!B21</f>
        <v>Centering and shuttering including strutting, propping etc. and removal of from for Foundations, footings, bases of columns, etc. for mass concrete.</v>
      </c>
      <c r="C10" s="5">
        <f>[12]ESTIMATE!G24</f>
        <v>11.15</v>
      </c>
      <c r="D10" s="9" t="s">
        <v>11</v>
      </c>
      <c r="E10" s="1">
        <f>[12]ESTIMATE!I24</f>
        <v>194.5</v>
      </c>
      <c r="F10" s="34">
        <f t="shared" si="0"/>
        <v>2168.6799999999998</v>
      </c>
    </row>
    <row r="11" spans="1:6">
      <c r="A11" s="1">
        <f>[12]ESTIMATE!A25</f>
        <v>7</v>
      </c>
      <c r="B11" s="10" t="s">
        <v>12</v>
      </c>
      <c r="C11" s="6"/>
      <c r="D11" s="11"/>
      <c r="E11" s="12"/>
      <c r="F11" s="5"/>
    </row>
    <row r="12" spans="1:6">
      <c r="A12" s="13" t="str">
        <f>[12]ESTIMATE!A26</f>
        <v>(i)</v>
      </c>
      <c r="B12" s="35" t="str">
        <f>[12]ESTIMATE!B26</f>
        <v>SAND-LEAD-49KM</v>
      </c>
      <c r="C12" s="6">
        <f>[12]ESTIMATE!G26</f>
        <v>3.66</v>
      </c>
      <c r="D12" s="11" t="s">
        <v>15</v>
      </c>
      <c r="E12" s="1">
        <f>[12]ESTIMATE!I26</f>
        <v>848.82</v>
      </c>
      <c r="F12" s="5">
        <f t="shared" ref="F12:F16" si="1">ROUND(C12*E12,2)</f>
        <v>3106.68</v>
      </c>
    </row>
    <row r="13" spans="1:6">
      <c r="A13" s="13" t="str">
        <f>[12]ESTIMATE!A27</f>
        <v>(ii)</v>
      </c>
      <c r="B13" s="35" t="str">
        <f>[12]ESTIMATE!B27</f>
        <v>LOCAL SAND-LEAD-14KM</v>
      </c>
      <c r="C13" s="6">
        <f>[12]ESTIMATE!G27</f>
        <v>4.25</v>
      </c>
      <c r="D13" s="11" t="s">
        <v>15</v>
      </c>
      <c r="E13" s="34">
        <f>[12]ESTIMATE!I27</f>
        <v>328.02</v>
      </c>
      <c r="F13" s="5">
        <f t="shared" si="1"/>
        <v>1394.09</v>
      </c>
    </row>
    <row r="14" spans="1:6">
      <c r="A14" s="13" t="str">
        <f>[12]ESTIMATE!A28</f>
        <v>(iii)</v>
      </c>
      <c r="B14" s="36" t="str">
        <f>[12]ESTIMATE!B28</f>
        <v>STONE CHIPS-LEAD-22KM</v>
      </c>
      <c r="C14" s="6">
        <f>[12]ESTIMATE!G28</f>
        <v>7.31</v>
      </c>
      <c r="D14" s="11" t="s">
        <v>15</v>
      </c>
      <c r="E14" s="34">
        <f>[12]ESTIMATE!I28</f>
        <v>447.06</v>
      </c>
      <c r="F14" s="5">
        <f t="shared" si="1"/>
        <v>3268.01</v>
      </c>
    </row>
    <row r="15" spans="1:6">
      <c r="A15" s="13" t="str">
        <f>[12]ESTIMATE!A29</f>
        <v>(iv)</v>
      </c>
      <c r="B15" s="36" t="str">
        <f>[12]ESTIMATE!B29</f>
        <v>BOULDER-LEAD-36KM</v>
      </c>
      <c r="C15" s="6">
        <f>[12]ESTIMATE!G29</f>
        <v>7.14</v>
      </c>
      <c r="D15" s="11" t="s">
        <v>15</v>
      </c>
      <c r="E15" s="1">
        <f>[12]ESTIMATE!I29</f>
        <v>679.66</v>
      </c>
      <c r="F15" s="5">
        <f t="shared" si="1"/>
        <v>4852.7700000000004</v>
      </c>
    </row>
    <row r="16" spans="1:6">
      <c r="A16" s="13" t="str">
        <f>[12]ESTIMATE!A30</f>
        <v>(v)</v>
      </c>
      <c r="B16" s="4" t="str">
        <f>[12]ESTIMATE!B30</f>
        <v>EARTH-LEAD-01km</v>
      </c>
      <c r="C16" s="6">
        <f>[12]ESTIMATE!G30</f>
        <v>11.38</v>
      </c>
      <c r="D16" s="11" t="s">
        <v>15</v>
      </c>
      <c r="E16" s="34">
        <f>[12]ESTIMATE!I30</f>
        <v>117.54</v>
      </c>
      <c r="F16" s="5">
        <f t="shared" si="1"/>
        <v>1337.61</v>
      </c>
    </row>
    <row r="17" spans="1:6">
      <c r="A17" s="15"/>
      <c r="B17" s="15"/>
      <c r="C17" s="436" t="s">
        <v>24</v>
      </c>
      <c r="D17" s="425"/>
      <c r="E17" s="426"/>
      <c r="F17" s="5">
        <f>SUM(F5:F16)</f>
        <v>75403.23</v>
      </c>
    </row>
    <row r="18" spans="1:6">
      <c r="A18" s="15"/>
      <c r="B18" s="15"/>
      <c r="C18" s="436" t="s">
        <v>25</v>
      </c>
      <c r="D18" s="425"/>
      <c r="E18" s="426"/>
      <c r="F18" s="5">
        <f>ROUND(F17*0.18,2)</f>
        <v>13572.58</v>
      </c>
    </row>
    <row r="19" spans="1:6">
      <c r="A19" s="15"/>
      <c r="B19" s="15"/>
      <c r="C19" s="436" t="s">
        <v>24</v>
      </c>
      <c r="D19" s="425"/>
      <c r="E19" s="426"/>
      <c r="F19" s="5">
        <f>SUM(F17:F18)</f>
        <v>88975.81</v>
      </c>
    </row>
    <row r="20" spans="1:6">
      <c r="A20" s="15"/>
      <c r="B20" s="15"/>
      <c r="C20" s="436" t="s">
        <v>26</v>
      </c>
      <c r="D20" s="425"/>
      <c r="E20" s="426"/>
      <c r="F20" s="5">
        <f>ROUND(F19*0.01,2)</f>
        <v>889.76</v>
      </c>
    </row>
    <row r="21" spans="1:6">
      <c r="A21" s="15"/>
      <c r="B21" s="15"/>
      <c r="C21" s="436" t="s">
        <v>24</v>
      </c>
      <c r="D21" s="425"/>
      <c r="E21" s="426"/>
      <c r="F21" s="7">
        <f>SUM(F19:F20)</f>
        <v>89865.569999999992</v>
      </c>
    </row>
    <row r="22" spans="1:6">
      <c r="A22" s="15"/>
      <c r="B22" s="15"/>
      <c r="C22" s="436" t="s">
        <v>27</v>
      </c>
      <c r="D22" s="425"/>
      <c r="E22" s="426"/>
      <c r="F22" s="7">
        <v>89866</v>
      </c>
    </row>
    <row r="23" spans="1:6">
      <c r="A23" s="37"/>
      <c r="B23" s="37"/>
      <c r="C23" s="38"/>
      <c r="D23" s="38"/>
      <c r="E23" s="38"/>
      <c r="F23" s="39"/>
    </row>
    <row r="24" spans="1:6" ht="18">
      <c r="A24" s="40"/>
      <c r="B24" s="40"/>
      <c r="C24" s="41"/>
      <c r="D24" s="41"/>
      <c r="E24" s="41"/>
      <c r="F24" s="42"/>
    </row>
    <row r="25" spans="1:6">
      <c r="A25" s="43"/>
      <c r="B25" s="44"/>
      <c r="C25" s="44"/>
      <c r="D25" s="44"/>
      <c r="E25" s="44"/>
      <c r="F25" s="44"/>
    </row>
    <row r="26" spans="1:6">
      <c r="A26" s="43"/>
      <c r="B26" s="44"/>
      <c r="C26" s="44"/>
      <c r="D26" s="44"/>
      <c r="E26" s="44"/>
      <c r="F26" s="44"/>
    </row>
    <row r="27" spans="1:6" ht="18">
      <c r="A27" s="43"/>
      <c r="B27" s="45" t="s">
        <v>28</v>
      </c>
      <c r="C27" s="46" t="s">
        <v>29</v>
      </c>
      <c r="D27" s="44"/>
      <c r="E27" s="44"/>
      <c r="F27" s="47" t="s">
        <v>30</v>
      </c>
    </row>
    <row r="28" spans="1:6" ht="18">
      <c r="A28" s="43"/>
      <c r="B28" s="45" t="s">
        <v>31</v>
      </c>
      <c r="C28" s="46" t="s">
        <v>32</v>
      </c>
      <c r="D28" s="44"/>
      <c r="E28" s="44"/>
      <c r="F28" s="47" t="s">
        <v>31</v>
      </c>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28"/>
  <sheetViews>
    <sheetView topLeftCell="A10" workbookViewId="0">
      <selection activeCell="D6" sqref="D6"/>
    </sheetView>
  </sheetViews>
  <sheetFormatPr defaultRowHeight="15"/>
  <cols>
    <col min="2" max="2" width="51.42578125" customWidth="1"/>
    <col min="6" max="6" width="15.28515625" bestFit="1" customWidth="1"/>
  </cols>
  <sheetData>
    <row r="1" spans="1:6" ht="23.25">
      <c r="A1" s="437" t="s">
        <v>0</v>
      </c>
      <c r="B1" s="438"/>
      <c r="C1" s="438"/>
      <c r="D1" s="438"/>
      <c r="E1" s="438"/>
      <c r="F1" s="439"/>
    </row>
    <row r="2" spans="1:6" ht="18" customHeight="1">
      <c r="A2" s="427" t="s">
        <v>1</v>
      </c>
      <c r="B2" s="428"/>
      <c r="C2" s="428"/>
      <c r="D2" s="428"/>
      <c r="E2" s="428"/>
      <c r="F2" s="429"/>
    </row>
    <row r="3" spans="1:6" ht="29.45" customHeight="1">
      <c r="A3" s="440" t="str">
        <f>[13]ESTIMATE!A2</f>
        <v>Name of Work :-CONSTRUCTION OF PCC ROAD AT GOWALA TOLI BEBY TABASSUM'S GALI UNDER WARD NO-23</v>
      </c>
      <c r="B3" s="441"/>
      <c r="C3" s="441"/>
      <c r="D3" s="441"/>
      <c r="E3" s="441"/>
      <c r="F3" s="442"/>
    </row>
    <row r="4" spans="1:6" ht="30">
      <c r="A4" s="1" t="s">
        <v>2</v>
      </c>
      <c r="B4" s="2" t="s">
        <v>3</v>
      </c>
      <c r="C4" s="2" t="s">
        <v>4</v>
      </c>
      <c r="D4" s="2" t="s">
        <v>5</v>
      </c>
      <c r="E4" s="1" t="s">
        <v>6</v>
      </c>
      <c r="F4" s="1" t="s">
        <v>7</v>
      </c>
    </row>
    <row r="5" spans="1:6" ht="28.5">
      <c r="A5" s="1">
        <f>[13]ESTIMATE!A4</f>
        <v>1</v>
      </c>
      <c r="B5" s="4" t="str">
        <f>[13]ESTIMATE!B4</f>
        <v>Labour for site clearence before and after the work etc.</v>
      </c>
      <c r="C5" s="5">
        <f>[13]ESTIMATE!G4</f>
        <v>1</v>
      </c>
      <c r="D5" s="6" t="str">
        <f>[13]ESTIMATE!H4</f>
        <v>No.</v>
      </c>
      <c r="E5" s="5">
        <f>[13]ESTIMATE!I4</f>
        <v>326.85000000000002</v>
      </c>
      <c r="F5" s="5">
        <f t="shared" ref="F5:F10" si="0">ROUND(C5*E5,2)</f>
        <v>326.85000000000002</v>
      </c>
    </row>
    <row r="6" spans="1:6" ht="99.75">
      <c r="A6" s="1" t="str">
        <f>[13]ESTIMATE!A5</f>
        <v>2       5.1.1.</v>
      </c>
      <c r="B6" s="4" t="str">
        <f>[13]ESTIMATE!B5</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
      <c r="C6" s="5">
        <f>[13]ESTIMATE!G8</f>
        <v>15.18</v>
      </c>
      <c r="D6" s="6" t="s">
        <v>15</v>
      </c>
      <c r="E6" s="5">
        <f>[13]ESTIMATE!I8</f>
        <v>151.82</v>
      </c>
      <c r="F6" s="5">
        <f t="shared" si="0"/>
        <v>2304.63</v>
      </c>
    </row>
    <row r="7" spans="1:6" ht="99.75">
      <c r="A7" s="1" t="str">
        <f>[13]ESTIMATE!A9</f>
        <v>3.         5.1.10</v>
      </c>
      <c r="B7" s="4" t="str">
        <f>[13]ESTIMATE!B9</f>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
      <c r="C7" s="5">
        <f>[13]ESTIMATE!G12</f>
        <v>5.66</v>
      </c>
      <c r="D7" s="6" t="s">
        <v>15</v>
      </c>
      <c r="E7" s="5">
        <f>[13]ESTIMATE!I12</f>
        <v>589.51</v>
      </c>
      <c r="F7" s="5">
        <f t="shared" si="0"/>
        <v>3336.63</v>
      </c>
    </row>
    <row r="8" spans="1:6" ht="71.25">
      <c r="A8" s="1" t="str">
        <f>[13]ESTIMATE!A13</f>
        <v>4.       5.6.8 (C.I.W.)</v>
      </c>
      <c r="B8" s="4" t="str">
        <f>[13]ESTIMATE!B13</f>
        <v>Supplying and laying (properly as per design and drawing )rip-rap with good quality of boulders duly packed including the cost of materials,royalty all taxes etc.but excluding the cost of carriage, all complete as per specification and direction of E/I.</v>
      </c>
      <c r="C8" s="5">
        <f>[13]ESTIMATE!G16</f>
        <v>9.52</v>
      </c>
      <c r="D8" s="6" t="s">
        <v>15</v>
      </c>
      <c r="E8" s="5">
        <f>[13]ESTIMATE!I16</f>
        <v>1756.4</v>
      </c>
      <c r="F8" s="5">
        <f t="shared" si="0"/>
        <v>16720.93</v>
      </c>
    </row>
    <row r="9" spans="1:6" ht="65.099999999999994" customHeight="1">
      <c r="A9" s="1" t="str">
        <f>[13]ESTIMATE!A17</f>
        <v>5.     5.3.1.1</v>
      </c>
      <c r="B9" s="8" t="str">
        <f>[13]ESTIMATE!B17</f>
        <v xml:space="preserve">Providing and laying in position cement concrete of specified grade excluding the cost of centering and shuttering- All work upto plinth level : 1:1½:3 (1 cemet : 1½ coarse sand (zone-iii) : 3 graded stone aggregate 20mm nominal size )  </v>
      </c>
      <c r="C9" s="5">
        <f>[13]ESTIMATE!G20</f>
        <v>11.33</v>
      </c>
      <c r="D9" s="6" t="s">
        <v>15</v>
      </c>
      <c r="E9" s="5">
        <f>[13]ESTIMATE!I20</f>
        <v>4961.7299999999996</v>
      </c>
      <c r="F9" s="5">
        <f t="shared" si="0"/>
        <v>56216.4</v>
      </c>
    </row>
    <row r="10" spans="1:6" ht="42.75">
      <c r="A10" s="1" t="str">
        <f>[13]ESTIMATE!A21</f>
        <v>6               5.3.17.1</v>
      </c>
      <c r="B10" s="4" t="str">
        <f>[13]ESTIMATE!B21</f>
        <v>Centering and shuttering including strutting, propping etc. and removal of from for Foundations, footings, bases of columns, etc. for mass concrete.</v>
      </c>
      <c r="C10" s="5">
        <f>[13]ESTIMATE!G24</f>
        <v>9.2899999999999991</v>
      </c>
      <c r="D10" s="9" t="s">
        <v>11</v>
      </c>
      <c r="E10" s="1">
        <f>[13]ESTIMATE!I24</f>
        <v>194.5</v>
      </c>
      <c r="F10" s="34">
        <f t="shared" si="0"/>
        <v>1806.91</v>
      </c>
    </row>
    <row r="11" spans="1:6">
      <c r="A11" s="1">
        <f>[13]ESTIMATE!A25</f>
        <v>7</v>
      </c>
      <c r="B11" s="10" t="s">
        <v>12</v>
      </c>
      <c r="C11" s="6"/>
      <c r="D11" s="11"/>
      <c r="E11" s="12"/>
      <c r="F11" s="5"/>
    </row>
    <row r="12" spans="1:6">
      <c r="A12" s="13" t="str">
        <f>[13]ESTIMATE!A26</f>
        <v>(i)</v>
      </c>
      <c r="B12" s="35" t="str">
        <f>[13]ESTIMATE!B26</f>
        <v>SAND-LEAD-49KM</v>
      </c>
      <c r="C12" s="6">
        <f>[13]ESTIMATE!G26</f>
        <v>4.87</v>
      </c>
      <c r="D12" s="11" t="s">
        <v>15</v>
      </c>
      <c r="E12" s="1">
        <f>[13]ESTIMATE!I26</f>
        <v>848.82</v>
      </c>
      <c r="F12" s="5">
        <f t="shared" ref="F12:F16" si="1">ROUND(C12*E12,2)</f>
        <v>4133.75</v>
      </c>
    </row>
    <row r="13" spans="1:6">
      <c r="A13" s="13" t="str">
        <f>[13]ESTIMATE!A27</f>
        <v>(ii)</v>
      </c>
      <c r="B13" s="35" t="str">
        <f>[13]ESTIMATE!B27</f>
        <v>LOCAL SAND-LEAD-14KM</v>
      </c>
      <c r="C13" s="6">
        <f>[13]ESTIMATE!G27</f>
        <v>5.66</v>
      </c>
      <c r="D13" s="11" t="s">
        <v>15</v>
      </c>
      <c r="E13" s="34">
        <f>[13]ESTIMATE!I27</f>
        <v>328.02</v>
      </c>
      <c r="F13" s="5">
        <f t="shared" si="1"/>
        <v>1856.59</v>
      </c>
    </row>
    <row r="14" spans="1:6">
      <c r="A14" s="13" t="str">
        <f>[13]ESTIMATE!A28</f>
        <v>(iii)</v>
      </c>
      <c r="B14" s="36" t="str">
        <f>[13]ESTIMATE!B28</f>
        <v>STONE CHIPS-LEAD-22KM</v>
      </c>
      <c r="C14" s="6">
        <f>[13]ESTIMATE!G28</f>
        <v>9.74</v>
      </c>
      <c r="D14" s="11" t="s">
        <v>15</v>
      </c>
      <c r="E14" s="34">
        <f>[13]ESTIMATE!I28</f>
        <v>447.06</v>
      </c>
      <c r="F14" s="5">
        <f t="shared" si="1"/>
        <v>4354.3599999999997</v>
      </c>
    </row>
    <row r="15" spans="1:6">
      <c r="A15" s="13" t="str">
        <f>[13]ESTIMATE!A29</f>
        <v>(iv)</v>
      </c>
      <c r="B15" s="36" t="str">
        <f>[13]ESTIMATE!B29</f>
        <v>BOULDER-LEAD-36KM</v>
      </c>
      <c r="C15" s="6">
        <f>[13]ESTIMATE!G29</f>
        <v>9.52</v>
      </c>
      <c r="D15" s="11" t="s">
        <v>15</v>
      </c>
      <c r="E15" s="1">
        <f>[13]ESTIMATE!I29</f>
        <v>679.66</v>
      </c>
      <c r="F15" s="5">
        <f t="shared" si="1"/>
        <v>6470.36</v>
      </c>
    </row>
    <row r="16" spans="1:6">
      <c r="A16" s="13" t="str">
        <f>[13]ESTIMATE!A30</f>
        <v>(v)</v>
      </c>
      <c r="B16" s="4" t="str">
        <f>[13]ESTIMATE!B30</f>
        <v>EARTH-LEAD-01km</v>
      </c>
      <c r="C16" s="6">
        <f>[13]ESTIMATE!G30</f>
        <v>15.18</v>
      </c>
      <c r="D16" s="11" t="s">
        <v>15</v>
      </c>
      <c r="E16" s="34">
        <f>[13]ESTIMATE!I30</f>
        <v>117.54</v>
      </c>
      <c r="F16" s="5">
        <f t="shared" si="1"/>
        <v>1784.26</v>
      </c>
    </row>
    <row r="17" spans="1:6">
      <c r="A17" s="15"/>
      <c r="B17" s="15"/>
      <c r="C17" s="425" t="s">
        <v>24</v>
      </c>
      <c r="D17" s="425"/>
      <c r="E17" s="426"/>
      <c r="F17" s="5">
        <f>SUM(F5:F16)</f>
        <v>99311.67</v>
      </c>
    </row>
    <row r="18" spans="1:6">
      <c r="A18" s="15"/>
      <c r="B18" s="15"/>
      <c r="C18" s="436" t="s">
        <v>25</v>
      </c>
      <c r="D18" s="425"/>
      <c r="E18" s="426"/>
      <c r="F18" s="5">
        <f>ROUND(F17*0.18,2)</f>
        <v>17876.099999999999</v>
      </c>
    </row>
    <row r="19" spans="1:6">
      <c r="A19" s="15"/>
      <c r="B19" s="15"/>
      <c r="C19" s="436" t="s">
        <v>24</v>
      </c>
      <c r="D19" s="425"/>
      <c r="E19" s="426"/>
      <c r="F19" s="5">
        <f>SUM(F17:F18)</f>
        <v>117187.76999999999</v>
      </c>
    </row>
    <row r="20" spans="1:6">
      <c r="A20" s="15"/>
      <c r="B20" s="15"/>
      <c r="C20" s="425" t="s">
        <v>26</v>
      </c>
      <c r="D20" s="425"/>
      <c r="E20" s="426"/>
      <c r="F20" s="5">
        <f>ROUND(F19*0.01,2)</f>
        <v>1171.8800000000001</v>
      </c>
    </row>
    <row r="21" spans="1:6">
      <c r="A21" s="15"/>
      <c r="B21" s="15"/>
      <c r="C21" s="425" t="s">
        <v>24</v>
      </c>
      <c r="D21" s="425"/>
      <c r="E21" s="426"/>
      <c r="F21" s="7">
        <f>SUM(F19:F20)</f>
        <v>118359.65</v>
      </c>
    </row>
    <row r="22" spans="1:6">
      <c r="A22" s="15"/>
      <c r="B22" s="15"/>
      <c r="C22" s="425" t="s">
        <v>27</v>
      </c>
      <c r="D22" s="425"/>
      <c r="E22" s="426"/>
      <c r="F22" s="7">
        <v>118360</v>
      </c>
    </row>
    <row r="23" spans="1:6">
      <c r="A23" s="37"/>
      <c r="B23" s="37"/>
      <c r="C23" s="38"/>
      <c r="D23" s="38"/>
      <c r="E23" s="38"/>
      <c r="F23" s="39"/>
    </row>
    <row r="24" spans="1:6" ht="18">
      <c r="A24" s="40"/>
      <c r="B24" s="40"/>
      <c r="C24" s="41"/>
      <c r="D24" s="41"/>
      <c r="E24" s="41"/>
      <c r="F24" s="42"/>
    </row>
    <row r="25" spans="1:6">
      <c r="A25" s="43"/>
      <c r="B25" s="44"/>
      <c r="C25" s="44"/>
      <c r="D25" s="44"/>
      <c r="E25" s="44"/>
      <c r="F25" s="44"/>
    </row>
    <row r="26" spans="1:6">
      <c r="A26" s="43"/>
      <c r="B26" s="44"/>
      <c r="C26" s="44"/>
      <c r="D26" s="44"/>
      <c r="E26" s="44"/>
      <c r="F26" s="44"/>
    </row>
    <row r="27" spans="1:6" ht="18">
      <c r="A27" s="43"/>
      <c r="B27" s="45"/>
      <c r="C27" s="46"/>
      <c r="D27" s="44"/>
      <c r="E27" s="44"/>
      <c r="F27" s="47"/>
    </row>
    <row r="28" spans="1:6" ht="18">
      <c r="A28" s="43"/>
      <c r="B28" s="45"/>
      <c r="C28" s="46"/>
      <c r="D28" s="44"/>
      <c r="E28" s="44"/>
      <c r="F28" s="47"/>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8" customWidth="1"/>
    <col min="2" max="2" width="39.140625" customWidth="1"/>
    <col min="5" max="5" width="11.140625" customWidth="1"/>
    <col min="6" max="6" width="16.140625" customWidth="1"/>
  </cols>
  <sheetData>
    <row r="1" spans="1:6" ht="26.25">
      <c r="A1" s="449" t="s">
        <v>62</v>
      </c>
      <c r="B1" s="449"/>
      <c r="C1" s="449"/>
      <c r="D1" s="449"/>
      <c r="E1" s="449"/>
      <c r="F1" s="449"/>
    </row>
    <row r="2" spans="1:6" ht="18">
      <c r="A2" s="450" t="s">
        <v>63</v>
      </c>
      <c r="B2" s="450"/>
      <c r="C2" s="450"/>
      <c r="D2" s="450"/>
      <c r="E2" s="450"/>
      <c r="F2" s="450"/>
    </row>
    <row r="3" spans="1:6" ht="34.5" customHeight="1">
      <c r="A3" s="451" t="str">
        <f>[14]ESTIMATE!A2</f>
        <v xml:space="preserve">Name of Work :-IMPROVEMENT OF PCC ROAD AT TASLIM MASZID ROAD FROM TABREJ MEDICAL TO MAQBUL ENCLAVE  UNDER WARD NO. 23 </v>
      </c>
      <c r="B3" s="451"/>
      <c r="C3" s="451"/>
      <c r="D3" s="451"/>
      <c r="E3" s="451"/>
      <c r="F3" s="451"/>
    </row>
    <row r="4" spans="1:6" ht="30">
      <c r="A4" s="48" t="s">
        <v>64</v>
      </c>
      <c r="B4" s="49" t="s">
        <v>3</v>
      </c>
      <c r="C4" s="49" t="s">
        <v>4</v>
      </c>
      <c r="D4" s="49" t="s">
        <v>5</v>
      </c>
      <c r="E4" s="50" t="s">
        <v>65</v>
      </c>
      <c r="F4" s="1" t="s">
        <v>66</v>
      </c>
    </row>
    <row r="5" spans="1:6" ht="25.5">
      <c r="A5" s="48">
        <v>1</v>
      </c>
      <c r="B5" s="51" t="s">
        <v>67</v>
      </c>
      <c r="C5" s="52">
        <f>[14]ESTIMATE!G4</f>
        <v>3</v>
      </c>
      <c r="D5" s="53" t="s">
        <v>41</v>
      </c>
      <c r="E5" s="54">
        <f>[14]ESTIMATE!I4</f>
        <v>326.85000000000002</v>
      </c>
      <c r="F5" s="7">
        <f t="shared" ref="F5:F7" si="0">ROUND(C5*E5,2)</f>
        <v>980.55</v>
      </c>
    </row>
    <row r="6" spans="1:6" ht="76.5">
      <c r="A6" s="48" t="str">
        <f>[14]ESTIMATE!A5</f>
        <v>2.     5.3.1.1</v>
      </c>
      <c r="B6" s="55" t="s">
        <v>68</v>
      </c>
      <c r="C6" s="52">
        <f>[14]ESTIMATE!G8</f>
        <v>71.44</v>
      </c>
      <c r="D6" s="53" t="s">
        <v>15</v>
      </c>
      <c r="E6" s="56">
        <f>[14]ESTIMATE!I8</f>
        <v>4961.7299999999996</v>
      </c>
      <c r="F6" s="7">
        <f t="shared" si="0"/>
        <v>354465.99</v>
      </c>
    </row>
    <row r="7" spans="1:6" ht="51">
      <c r="A7" s="48" t="str">
        <f>[14]ESTIMATE!A9</f>
        <v>3                 5.3.17.1</v>
      </c>
      <c r="B7" s="57" t="s">
        <v>57</v>
      </c>
      <c r="C7" s="58">
        <f>[14]ESTIMATE!G12</f>
        <v>28.81</v>
      </c>
      <c r="D7" s="59" t="s">
        <v>11</v>
      </c>
      <c r="E7" s="60">
        <f>[14]ESTIMATE!I12</f>
        <v>194.5</v>
      </c>
      <c r="F7" s="7">
        <f t="shared" si="0"/>
        <v>5603.55</v>
      </c>
    </row>
    <row r="8" spans="1:6">
      <c r="A8" s="48">
        <f>[14]ESTIMATE!A13</f>
        <v>4</v>
      </c>
      <c r="B8" s="61" t="s">
        <v>12</v>
      </c>
      <c r="C8" s="62"/>
      <c r="D8" s="62"/>
      <c r="E8" s="63"/>
      <c r="F8" s="7"/>
    </row>
    <row r="9" spans="1:6">
      <c r="A9" s="49" t="s">
        <v>13</v>
      </c>
      <c r="B9" s="64" t="s">
        <v>69</v>
      </c>
      <c r="C9" s="62">
        <f>'[14]MATERIAL '!F4</f>
        <v>30.72</v>
      </c>
      <c r="D9" s="62" t="s">
        <v>15</v>
      </c>
      <c r="E9" s="54">
        <f>[14]ESTIMATE!I14</f>
        <v>848.82</v>
      </c>
      <c r="F9" s="7">
        <f>ROUND(C9*E9,2)</f>
        <v>26075.75</v>
      </c>
    </row>
    <row r="10" spans="1:6">
      <c r="A10" s="49" t="s">
        <v>18</v>
      </c>
      <c r="B10" s="65" t="s">
        <v>70</v>
      </c>
      <c r="C10" s="62">
        <f>'[14]MATERIAL '!G4</f>
        <v>61.44</v>
      </c>
      <c r="D10" s="62" t="s">
        <v>15</v>
      </c>
      <c r="E10" s="54">
        <f>[14]ESTIMATE!I15</f>
        <v>447.06</v>
      </c>
      <c r="F10" s="7">
        <f>ROUND(C10*E10,2)</f>
        <v>27467.37</v>
      </c>
    </row>
    <row r="11" spans="1:6">
      <c r="A11" s="66"/>
      <c r="B11" s="67"/>
      <c r="C11" s="452" t="s">
        <v>24</v>
      </c>
      <c r="D11" s="453"/>
      <c r="E11" s="454"/>
      <c r="F11" s="7">
        <f>SUM(F5:F10)</f>
        <v>414593.20999999996</v>
      </c>
    </row>
    <row r="12" spans="1:6">
      <c r="A12" s="66"/>
      <c r="B12" s="67"/>
      <c r="C12" s="446" t="s">
        <v>25</v>
      </c>
      <c r="D12" s="447"/>
      <c r="E12" s="448"/>
      <c r="F12" s="7">
        <f>F11*18%</f>
        <v>74626.777799999996</v>
      </c>
    </row>
    <row r="13" spans="1:6">
      <c r="A13" s="66"/>
      <c r="B13" s="67"/>
      <c r="C13" s="452" t="s">
        <v>24</v>
      </c>
      <c r="D13" s="453"/>
      <c r="E13" s="454"/>
      <c r="F13" s="7">
        <f>SUM(F11+F12)</f>
        <v>489219.98779999994</v>
      </c>
    </row>
    <row r="14" spans="1:6">
      <c r="A14" s="66"/>
      <c r="B14" s="67"/>
      <c r="C14" s="443" t="s">
        <v>71</v>
      </c>
      <c r="D14" s="444"/>
      <c r="E14" s="445"/>
      <c r="F14" s="7">
        <f>F13*1%</f>
        <v>4892.1998779999994</v>
      </c>
    </row>
    <row r="15" spans="1:6">
      <c r="A15" s="66"/>
      <c r="B15" s="67"/>
      <c r="C15" s="446" t="s">
        <v>24</v>
      </c>
      <c r="D15" s="447"/>
      <c r="E15" s="448"/>
      <c r="F15" s="7">
        <f>SUM(F13:F14)</f>
        <v>494112.18767799996</v>
      </c>
    </row>
    <row r="16" spans="1:6">
      <c r="A16" s="66"/>
      <c r="B16" s="67"/>
      <c r="C16" s="446" t="s">
        <v>27</v>
      </c>
      <c r="D16" s="447"/>
      <c r="E16" s="448"/>
      <c r="F16" s="7">
        <v>494112</v>
      </c>
    </row>
    <row r="17" spans="1:6">
      <c r="A17" s="68"/>
      <c r="B17" s="69"/>
      <c r="C17" s="70"/>
      <c r="D17" s="70"/>
      <c r="E17" s="71"/>
      <c r="F17" s="43"/>
    </row>
    <row r="18" spans="1:6" ht="15.75">
      <c r="A18" s="72"/>
      <c r="B18" s="73"/>
      <c r="C18" s="74"/>
      <c r="D18" s="74"/>
      <c r="E18" s="75"/>
      <c r="F18" s="43"/>
    </row>
    <row r="19" spans="1:6" ht="15.75">
      <c r="A19" s="72"/>
      <c r="B19" s="73"/>
      <c r="C19" s="74"/>
      <c r="D19" s="74"/>
      <c r="E19" s="75"/>
      <c r="F19" s="43"/>
    </row>
    <row r="20" spans="1:6" ht="15.75">
      <c r="A20" s="72"/>
      <c r="B20" s="76"/>
      <c r="C20" s="74"/>
      <c r="D20" s="74"/>
      <c r="E20" s="75"/>
      <c r="F20" s="72"/>
    </row>
    <row r="21" spans="1:6" ht="15.75">
      <c r="A21" s="72"/>
      <c r="B21" s="76"/>
      <c r="C21" s="74"/>
      <c r="D21" s="74"/>
      <c r="E21" s="75"/>
      <c r="F21" s="72"/>
    </row>
  </sheetData>
  <mergeCells count="9">
    <mergeCell ref="C14:E14"/>
    <mergeCell ref="C15:E15"/>
    <mergeCell ref="C16:E16"/>
    <mergeCell ref="A1:F1"/>
    <mergeCell ref="A2:F2"/>
    <mergeCell ref="A3:F3"/>
    <mergeCell ref="C11:E11"/>
    <mergeCell ref="C12:E12"/>
    <mergeCell ref="C13:E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RowHeight="15"/>
  <cols>
    <col min="2" max="2" width="51.42578125" customWidth="1"/>
    <col min="6" max="6" width="15.28515625" bestFit="1" customWidth="1"/>
  </cols>
  <sheetData>
    <row r="1" spans="1:6" ht="23.25">
      <c r="A1" s="437" t="s">
        <v>0</v>
      </c>
      <c r="B1" s="438"/>
      <c r="C1" s="438"/>
      <c r="D1" s="438"/>
      <c r="E1" s="438"/>
      <c r="F1" s="439"/>
    </row>
    <row r="2" spans="1:6" ht="18" customHeight="1">
      <c r="A2" s="427" t="s">
        <v>1</v>
      </c>
      <c r="B2" s="428"/>
      <c r="C2" s="428"/>
      <c r="D2" s="428"/>
      <c r="E2" s="428"/>
      <c r="F2" s="429"/>
    </row>
    <row r="3" spans="1:6" ht="29.45" customHeight="1">
      <c r="A3" s="433" t="str">
        <f>[15]ESTIMATE!A2</f>
        <v>Name of Work :-CONSTRUCTION OF PCC ROAD AT SOUTH EAST STREET ROAD, FROM SABBIR AHAMAD SHOP TO NAUSHAD HOUSE UNDER WARD NO-23</v>
      </c>
      <c r="B3" s="434"/>
      <c r="C3" s="434"/>
      <c r="D3" s="434"/>
      <c r="E3" s="434"/>
      <c r="F3" s="435"/>
    </row>
    <row r="4" spans="1:6" ht="30">
      <c r="A4" s="1" t="s">
        <v>2</v>
      </c>
      <c r="B4" s="2" t="s">
        <v>3</v>
      </c>
      <c r="C4" s="2" t="s">
        <v>4</v>
      </c>
      <c r="D4" s="2" t="s">
        <v>5</v>
      </c>
      <c r="E4" s="1" t="s">
        <v>6</v>
      </c>
      <c r="F4" s="1" t="s">
        <v>7</v>
      </c>
    </row>
    <row r="5" spans="1:6" ht="28.5">
      <c r="A5" s="1">
        <f>[15]ESTIMATE!A4</f>
        <v>1</v>
      </c>
      <c r="B5" s="4" t="str">
        <f>[15]ESTIMATE!B4</f>
        <v>Labour for site clearence before and after the work etc.</v>
      </c>
      <c r="C5" s="5">
        <f>[15]ESTIMATE!G4</f>
        <v>1</v>
      </c>
      <c r="D5" s="6" t="str">
        <f>[15]ESTIMATE!H4</f>
        <v>No.</v>
      </c>
      <c r="E5" s="5">
        <f>[15]ESTIMATE!I4</f>
        <v>326.85000000000002</v>
      </c>
      <c r="F5" s="5">
        <f t="shared" ref="F5:F10" si="0">ROUND(C5*E5,2)</f>
        <v>326.85000000000002</v>
      </c>
    </row>
    <row r="6" spans="1:6" ht="99.75">
      <c r="A6" s="1" t="str">
        <f>[15]ESTIMATE!A5</f>
        <v>2       5.1.1.</v>
      </c>
      <c r="B6" s="4" t="str">
        <f>[15]ESTIMATE!B5</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
      <c r="C6" s="5">
        <f>[15]ESTIMATE!G8</f>
        <v>22.77</v>
      </c>
      <c r="D6" s="6" t="s">
        <v>15</v>
      </c>
      <c r="E6" s="5">
        <f>[15]ESTIMATE!I8</f>
        <v>151.82</v>
      </c>
      <c r="F6" s="5">
        <f t="shared" si="0"/>
        <v>3456.94</v>
      </c>
    </row>
    <row r="7" spans="1:6" ht="99.75">
      <c r="A7" s="1" t="str">
        <f>[15]ESTIMATE!A9</f>
        <v>3.         5.1.10</v>
      </c>
      <c r="B7" s="4" t="str">
        <f>[15]ESTIMATE!B9</f>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
      <c r="C7" s="5">
        <f>[15]ESTIMATE!G12</f>
        <v>8.5</v>
      </c>
      <c r="D7" s="6" t="s">
        <v>15</v>
      </c>
      <c r="E7" s="5">
        <f>[15]ESTIMATE!I12</f>
        <v>589.51</v>
      </c>
      <c r="F7" s="5">
        <f t="shared" si="0"/>
        <v>5010.84</v>
      </c>
    </row>
    <row r="8" spans="1:6" ht="71.25">
      <c r="A8" s="1" t="str">
        <f>[15]ESTIMATE!A13</f>
        <v>4.       5.6.8 (C.I.W.)</v>
      </c>
      <c r="B8" s="4" t="str">
        <f>[15]ESTIMATE!B13</f>
        <v>Supplying and laying (properly as per design and drawing )rip-rap with good quality of boulders duly packed including the cost of materials,royalty all taxes etc.but excluding the cost of carriage, all complete as per specification and direction of E/I.</v>
      </c>
      <c r="C8" s="5">
        <f>[15]ESTIMATE!G16</f>
        <v>14.27</v>
      </c>
      <c r="D8" s="6" t="s">
        <v>15</v>
      </c>
      <c r="E8" s="5">
        <f>[15]ESTIMATE!I16</f>
        <v>1756.4</v>
      </c>
      <c r="F8" s="5">
        <f t="shared" si="0"/>
        <v>25063.83</v>
      </c>
    </row>
    <row r="9" spans="1:6" ht="65.099999999999994" customHeight="1">
      <c r="A9" s="1" t="str">
        <f>[15]ESTIMATE!A17</f>
        <v>5.     5.3.1.1</v>
      </c>
      <c r="B9" s="8" t="str">
        <f>[15]ESTIMATE!B17</f>
        <v xml:space="preserve">Providing and laying in position cement concrete of specified grade excluding the cost of centering and shuttering- All work upto plinth level : 1:1½:3 (1 cemet : 1½ coarse sand (zone-iii) : 3 graded stone aggregate 20mm nominal size )  </v>
      </c>
      <c r="C9" s="5">
        <f>[15]ESTIMATE!G20</f>
        <v>16.989999999999998</v>
      </c>
      <c r="D9" s="6" t="s">
        <v>15</v>
      </c>
      <c r="E9" s="5">
        <f>[15]ESTIMATE!I20</f>
        <v>4961.7299999999996</v>
      </c>
      <c r="F9" s="5">
        <f t="shared" si="0"/>
        <v>84299.79</v>
      </c>
    </row>
    <row r="10" spans="1:6" ht="42.75">
      <c r="A10" s="1" t="str">
        <f>[15]ESTIMATE!A21</f>
        <v>6               5.3.17.1</v>
      </c>
      <c r="B10" s="4" t="str">
        <f>[15]ESTIMATE!B21</f>
        <v>Centering and shuttering including strutting, propping etc. and removal of from for Foundations, footings, bases of columns, etc. for mass concrete.</v>
      </c>
      <c r="C10" s="5">
        <f>[15]ESTIMATE!G24</f>
        <v>18.59</v>
      </c>
      <c r="D10" s="9" t="s">
        <v>11</v>
      </c>
      <c r="E10" s="1">
        <f>[15]ESTIMATE!I24</f>
        <v>194.5</v>
      </c>
      <c r="F10" s="34">
        <f t="shared" si="0"/>
        <v>3615.76</v>
      </c>
    </row>
    <row r="11" spans="1:6">
      <c r="A11" s="1">
        <f>[15]ESTIMATE!A25</f>
        <v>7</v>
      </c>
      <c r="B11" s="10" t="s">
        <v>12</v>
      </c>
      <c r="C11" s="6"/>
      <c r="D11" s="11"/>
      <c r="E11" s="12"/>
      <c r="F11" s="5"/>
    </row>
    <row r="12" spans="1:6">
      <c r="A12" s="13" t="str">
        <f>[15]ESTIMATE!A26</f>
        <v>(i)</v>
      </c>
      <c r="B12" s="35" t="str">
        <f>[15]ESTIMATE!B26</f>
        <v>SAND-LEAD-49KM</v>
      </c>
      <c r="C12" s="6">
        <f>[15]ESTIMATE!G26</f>
        <v>7.31</v>
      </c>
      <c r="D12" s="11" t="s">
        <v>15</v>
      </c>
      <c r="E12" s="1">
        <f>[15]ESTIMATE!I26</f>
        <v>848.82</v>
      </c>
      <c r="F12" s="5">
        <f t="shared" ref="F12:F16" si="1">ROUND(C12*E12,2)</f>
        <v>6204.87</v>
      </c>
    </row>
    <row r="13" spans="1:6">
      <c r="A13" s="13" t="str">
        <f>[15]ESTIMATE!A27</f>
        <v>(ii)</v>
      </c>
      <c r="B13" s="35" t="str">
        <f>[15]ESTIMATE!B27</f>
        <v>LOCAL SAND-LEAD-14KM</v>
      </c>
      <c r="C13" s="6">
        <f>[15]ESTIMATE!G27</f>
        <v>8.5</v>
      </c>
      <c r="D13" s="11" t="s">
        <v>15</v>
      </c>
      <c r="E13" s="34">
        <f>[15]ESTIMATE!I27</f>
        <v>328.02</v>
      </c>
      <c r="F13" s="5">
        <f t="shared" si="1"/>
        <v>2788.17</v>
      </c>
    </row>
    <row r="14" spans="1:6">
      <c r="A14" s="13" t="str">
        <f>[15]ESTIMATE!A28</f>
        <v>(iii)</v>
      </c>
      <c r="B14" s="36" t="str">
        <f>[15]ESTIMATE!B28</f>
        <v>STONE CHIPS-LEAD-22KM</v>
      </c>
      <c r="C14" s="6">
        <f>[15]ESTIMATE!G28</f>
        <v>14.61</v>
      </c>
      <c r="D14" s="11" t="s">
        <v>15</v>
      </c>
      <c r="E14" s="34">
        <f>[15]ESTIMATE!I28</f>
        <v>447.06</v>
      </c>
      <c r="F14" s="5">
        <f t="shared" si="1"/>
        <v>6531.55</v>
      </c>
    </row>
    <row r="15" spans="1:6">
      <c r="A15" s="13" t="str">
        <f>[15]ESTIMATE!A29</f>
        <v>(iv)</v>
      </c>
      <c r="B15" s="36" t="str">
        <f>[15]ESTIMATE!B29</f>
        <v>BOULDER-LEAD-36KM</v>
      </c>
      <c r="C15" s="6">
        <f>[15]ESTIMATE!G29</f>
        <v>14.27</v>
      </c>
      <c r="D15" s="11" t="s">
        <v>15</v>
      </c>
      <c r="E15" s="1">
        <f>[15]ESTIMATE!I29</f>
        <v>679.66</v>
      </c>
      <c r="F15" s="5">
        <f t="shared" si="1"/>
        <v>9698.75</v>
      </c>
    </row>
    <row r="16" spans="1:6">
      <c r="A16" s="13" t="str">
        <f>[15]ESTIMATE!A30</f>
        <v>(v)</v>
      </c>
      <c r="B16" s="4" t="str">
        <f>[15]ESTIMATE!B30</f>
        <v>EARTH-LEAD-01km</v>
      </c>
      <c r="C16" s="6">
        <f>[15]ESTIMATE!G30</f>
        <v>22.77</v>
      </c>
      <c r="D16" s="11" t="s">
        <v>15</v>
      </c>
      <c r="E16" s="34">
        <f>[15]ESTIMATE!I30</f>
        <v>117.54</v>
      </c>
      <c r="F16" s="5">
        <f t="shared" si="1"/>
        <v>2676.39</v>
      </c>
    </row>
    <row r="17" spans="1:6">
      <c r="A17" s="15"/>
      <c r="B17" s="15"/>
      <c r="C17" s="425" t="s">
        <v>24</v>
      </c>
      <c r="D17" s="425"/>
      <c r="E17" s="426"/>
      <c r="F17" s="5">
        <f>SUM(F5:F16)</f>
        <v>149673.74</v>
      </c>
    </row>
    <row r="18" spans="1:6">
      <c r="A18" s="15"/>
      <c r="B18" s="15"/>
      <c r="C18" s="436" t="s">
        <v>25</v>
      </c>
      <c r="D18" s="425"/>
      <c r="E18" s="426"/>
      <c r="F18" s="5">
        <f>ROUND(F17*0.18,2)</f>
        <v>26941.27</v>
      </c>
    </row>
    <row r="19" spans="1:6">
      <c r="A19" s="15"/>
      <c r="B19" s="15"/>
      <c r="C19" s="436" t="s">
        <v>24</v>
      </c>
      <c r="D19" s="425"/>
      <c r="E19" s="426"/>
      <c r="F19" s="5">
        <f>SUM(F17:F18)</f>
        <v>176615.00999999998</v>
      </c>
    </row>
    <row r="20" spans="1:6">
      <c r="A20" s="15"/>
      <c r="B20" s="15"/>
      <c r="C20" s="425" t="s">
        <v>26</v>
      </c>
      <c r="D20" s="425"/>
      <c r="E20" s="426"/>
      <c r="F20" s="5">
        <f>ROUND(F19*0.01,2)</f>
        <v>1766.15</v>
      </c>
    </row>
    <row r="21" spans="1:6">
      <c r="A21" s="15"/>
      <c r="B21" s="15"/>
      <c r="C21" s="425" t="s">
        <v>24</v>
      </c>
      <c r="D21" s="425"/>
      <c r="E21" s="426"/>
      <c r="F21" s="7">
        <f>SUM(F19:F20)</f>
        <v>178381.15999999997</v>
      </c>
    </row>
    <row r="22" spans="1:6">
      <c r="A22" s="15"/>
      <c r="B22" s="15"/>
      <c r="C22" s="425" t="s">
        <v>27</v>
      </c>
      <c r="D22" s="425"/>
      <c r="E22" s="426"/>
      <c r="F22" s="7">
        <v>178381</v>
      </c>
    </row>
    <row r="23" spans="1:6">
      <c r="A23" s="37"/>
      <c r="B23" s="37"/>
      <c r="C23" s="38"/>
      <c r="D23" s="38"/>
      <c r="E23" s="38"/>
      <c r="F23" s="39"/>
    </row>
    <row r="24" spans="1:6" ht="18">
      <c r="A24" s="40"/>
      <c r="B24" s="40"/>
      <c r="C24" s="41"/>
      <c r="D24" s="41"/>
      <c r="E24" s="41"/>
      <c r="F24" s="42"/>
    </row>
    <row r="25" spans="1:6">
      <c r="A25" s="43"/>
      <c r="B25" s="44"/>
      <c r="C25" s="44"/>
      <c r="D25" s="44"/>
      <c r="E25" s="44"/>
      <c r="F25" s="44"/>
    </row>
    <row r="26" spans="1:6">
      <c r="A26" s="43"/>
      <c r="B26" s="44"/>
      <c r="C26" s="44"/>
      <c r="D26" s="44"/>
      <c r="E26" s="44"/>
      <c r="F26" s="44"/>
    </row>
    <row r="27" spans="1:6" ht="18">
      <c r="A27" s="43"/>
      <c r="B27" s="45"/>
      <c r="C27" s="46"/>
      <c r="D27" s="44"/>
      <c r="E27" s="44"/>
      <c r="F27" s="47"/>
    </row>
    <row r="28" spans="1:6" ht="18">
      <c r="A28" s="43"/>
      <c r="B28" s="45"/>
      <c r="C28" s="46"/>
      <c r="D28" s="44"/>
      <c r="E28" s="44"/>
      <c r="F28" s="47"/>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2" max="2" width="49.5703125" customWidth="1"/>
    <col min="6" max="6" width="14.140625" style="81" customWidth="1"/>
  </cols>
  <sheetData>
    <row r="1" spans="1:6" ht="26.25">
      <c r="A1" s="455" t="s">
        <v>0</v>
      </c>
      <c r="B1" s="456"/>
      <c r="C1" s="456"/>
      <c r="D1" s="456"/>
      <c r="E1" s="456"/>
      <c r="F1" s="457"/>
    </row>
    <row r="2" spans="1:6" ht="18">
      <c r="A2" s="427" t="s">
        <v>1</v>
      </c>
      <c r="B2" s="428"/>
      <c r="C2" s="428"/>
      <c r="D2" s="428"/>
      <c r="E2" s="428"/>
      <c r="F2" s="429"/>
    </row>
    <row r="3" spans="1:6" ht="30.95" customHeight="1">
      <c r="A3" s="433" t="str">
        <f>[16]ESTIMATE!A2</f>
        <v>Name of Work :-LAYING OF PAVER BLOK AT JAMIA HUSSAINIA AND IMLI TOLA, EMAM BARA UNDER WARD NO.24</v>
      </c>
      <c r="B3" s="434"/>
      <c r="C3" s="434"/>
      <c r="D3" s="434"/>
      <c r="E3" s="434"/>
      <c r="F3" s="435"/>
    </row>
    <row r="4" spans="1:6" ht="30">
      <c r="A4" s="1" t="s">
        <v>2</v>
      </c>
      <c r="B4" s="2" t="s">
        <v>3</v>
      </c>
      <c r="C4" s="2" t="s">
        <v>4</v>
      </c>
      <c r="D4" s="2" t="s">
        <v>5</v>
      </c>
      <c r="E4" s="1" t="s">
        <v>6</v>
      </c>
      <c r="F4" s="3" t="s">
        <v>7</v>
      </c>
    </row>
    <row r="5" spans="1:6" ht="33.6" customHeight="1">
      <c r="A5" s="1">
        <f>[16]ESTIMATE!A4</f>
        <v>1</v>
      </c>
      <c r="B5" s="77" t="str">
        <f>[16]ESTIMATE!B4</f>
        <v>Labour for clearning the work site before and after work etc.</v>
      </c>
      <c r="C5" s="5">
        <f>[16]ESTIMATE!G4</f>
        <v>5</v>
      </c>
      <c r="D5" s="6" t="s">
        <v>15</v>
      </c>
      <c r="E5" s="5">
        <f>[16]ESTIMATE!I4</f>
        <v>326.85000000000002</v>
      </c>
      <c r="F5" s="7">
        <f t="shared" ref="F5:F8" si="0">ROUND(C5*E5,2)</f>
        <v>1634.25</v>
      </c>
    </row>
    <row r="6" spans="1:6" ht="98.1" customHeight="1">
      <c r="A6" s="1" t="str">
        <f>[16]ESTIMATE!A5</f>
        <v>2       5.1.1.</v>
      </c>
      <c r="B6" s="4" t="str">
        <f>[16]ESTIMATE!B5</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
      <c r="C6" s="5">
        <f>[16]ESTIMATE!G11</f>
        <v>85.57</v>
      </c>
      <c r="D6" s="6" t="s">
        <v>15</v>
      </c>
      <c r="E6" s="5">
        <f>[16]ESTIMATE!I11</f>
        <v>151.82</v>
      </c>
      <c r="F6" s="7">
        <f t="shared" si="0"/>
        <v>12991.24</v>
      </c>
    </row>
    <row r="7" spans="1:6" ht="213.75">
      <c r="A7" s="1" t="str">
        <f>[16]ESTIMATE!A12</f>
        <v>3.       16.91.2   DSR</v>
      </c>
      <c r="B7" s="4" t="str">
        <f>[17]ESTIMATE!B13</f>
        <v>Providing and laying factory made chamfered edge 80mm thick cement concrete paver block  of M-30 grade with approved colour design and pattern using in footpath ,parks ,lawns,drive ways or lighttraffic parking etc,of required strength thickness and size shape made by table vibratory method using PU mould ,laid in required coloure and pattern over 50mm thick compacted bed of sand ,compacting and proper embedding laying of interlocking  paver blocks into the sand bedding layer through vibratory compaction by using plate vibrator,filling the joints with sand cutting of paver blocks as per required size and pattern ,finishing and sweeing extra sand complete all as per direction of  E/I</v>
      </c>
      <c r="C7" s="5">
        <f>[16]ESTIMATE!G18</f>
        <v>421.19</v>
      </c>
      <c r="D7" s="6" t="s">
        <v>15</v>
      </c>
      <c r="E7" s="5">
        <f>[17]ESTIMATE!I16</f>
        <v>877.72</v>
      </c>
      <c r="F7" s="7">
        <f t="shared" si="0"/>
        <v>369686.89</v>
      </c>
    </row>
    <row r="8" spans="1:6" ht="71.25">
      <c r="A8" s="1" t="str">
        <f>[16]ESTIMATE!A19</f>
        <v>4           5.3.1.1</v>
      </c>
      <c r="B8" s="4" t="str">
        <f>[16]ESTIMATE!B19</f>
        <v xml:space="preserve">Providing and laying in position concrete of specified grade excluding the cost of centering and shuttering- All work upto plinth level :  1:1½:3 (1 cemet : 1½ coarse sand (zone-iii) : 3 graded stone aggregate 20mm nominal size )  </v>
      </c>
      <c r="C8" s="5">
        <f>[16]ESTIMATE!G25</f>
        <v>0.9</v>
      </c>
      <c r="D8" s="6" t="s">
        <v>15</v>
      </c>
      <c r="E8" s="5">
        <f>[17]ESTIMATE!I20</f>
        <v>4961.7299999999996</v>
      </c>
      <c r="F8" s="7">
        <f t="shared" si="0"/>
        <v>4465.5600000000004</v>
      </c>
    </row>
    <row r="9" spans="1:6">
      <c r="A9" s="9">
        <v>5</v>
      </c>
      <c r="B9" s="78" t="s">
        <v>12</v>
      </c>
      <c r="C9" s="6"/>
      <c r="D9" s="11"/>
      <c r="E9" s="12"/>
      <c r="F9" s="7"/>
    </row>
    <row r="10" spans="1:6">
      <c r="A10" s="9" t="s">
        <v>13</v>
      </c>
      <c r="B10" s="35" t="s">
        <v>72</v>
      </c>
      <c r="C10" s="6">
        <f>[16]ESTIMATE!G27</f>
        <v>0.39</v>
      </c>
      <c r="D10" s="11" t="s">
        <v>15</v>
      </c>
      <c r="E10" s="79">
        <v>819.06</v>
      </c>
      <c r="F10" s="7">
        <f t="shared" ref="F10:F12" si="1">ROUND(C10*E10,2)</f>
        <v>319.43</v>
      </c>
    </row>
    <row r="11" spans="1:6">
      <c r="A11" s="9" t="s">
        <v>16</v>
      </c>
      <c r="B11" s="36" t="s">
        <v>73</v>
      </c>
      <c r="C11" s="6">
        <f>[16]ESTIMATE!G28</f>
        <v>0.77</v>
      </c>
      <c r="D11" s="11" t="s">
        <v>15</v>
      </c>
      <c r="E11" s="79">
        <v>417.3</v>
      </c>
      <c r="F11" s="7">
        <f t="shared" si="1"/>
        <v>321.32</v>
      </c>
    </row>
    <row r="12" spans="1:6">
      <c r="A12" s="9" t="s">
        <v>18</v>
      </c>
      <c r="B12" s="4" t="s">
        <v>74</v>
      </c>
      <c r="C12" s="6">
        <f>[16]ESTIMATE!G29</f>
        <v>85.57</v>
      </c>
      <c r="D12" s="11" t="s">
        <v>15</v>
      </c>
      <c r="E12" s="79">
        <v>117.54</v>
      </c>
      <c r="F12" s="7">
        <f t="shared" si="1"/>
        <v>10057.9</v>
      </c>
    </row>
    <row r="13" spans="1:6">
      <c r="A13" s="15"/>
      <c r="B13" s="15"/>
      <c r="C13" s="425" t="s">
        <v>24</v>
      </c>
      <c r="D13" s="425"/>
      <c r="E13" s="426"/>
      <c r="F13" s="7">
        <f>SUM(F5:F12)</f>
        <v>399476.59</v>
      </c>
    </row>
    <row r="14" spans="1:6">
      <c r="A14" s="15"/>
      <c r="B14" s="15"/>
      <c r="C14" s="436" t="s">
        <v>25</v>
      </c>
      <c r="D14" s="425"/>
      <c r="E14" s="426"/>
      <c r="F14" s="7">
        <f>F13*18%</f>
        <v>71905.786200000002</v>
      </c>
    </row>
    <row r="15" spans="1:6">
      <c r="A15" s="15"/>
      <c r="B15" s="15"/>
      <c r="C15" s="436" t="s">
        <v>24</v>
      </c>
      <c r="D15" s="425"/>
      <c r="E15" s="426"/>
      <c r="F15" s="7">
        <f>SUM(F13:F14)</f>
        <v>471382.37620000006</v>
      </c>
    </row>
    <row r="16" spans="1:6">
      <c r="A16" s="15"/>
      <c r="B16" s="15"/>
      <c r="C16" s="425" t="s">
        <v>71</v>
      </c>
      <c r="D16" s="425"/>
      <c r="E16" s="426"/>
      <c r="F16" s="7">
        <f>ROUND(F15*0.01,2)</f>
        <v>4713.82</v>
      </c>
    </row>
    <row r="17" spans="1:6">
      <c r="A17" s="15"/>
      <c r="B17" s="15"/>
      <c r="C17" s="425" t="s">
        <v>24</v>
      </c>
      <c r="D17" s="425"/>
      <c r="E17" s="426"/>
      <c r="F17" s="7">
        <f>SUM(F15:F16)</f>
        <v>476096.19620000006</v>
      </c>
    </row>
    <row r="18" spans="1:6" ht="18">
      <c r="A18" s="40"/>
      <c r="B18" s="40"/>
      <c r="C18" s="41"/>
      <c r="D18" s="41"/>
      <c r="E18" s="41"/>
      <c r="F18" s="42"/>
    </row>
    <row r="19" spans="1:6" ht="18">
      <c r="A19" s="40"/>
      <c r="B19" s="40"/>
      <c r="C19" s="41"/>
      <c r="D19" s="41"/>
      <c r="E19" s="41"/>
      <c r="F19" s="42"/>
    </row>
    <row r="20" spans="1:6">
      <c r="A20" s="43"/>
      <c r="B20" s="44"/>
      <c r="C20" s="44"/>
      <c r="D20" s="44"/>
      <c r="E20" s="44"/>
      <c r="F20" s="80"/>
    </row>
    <row r="21" spans="1:6">
      <c r="A21" s="43"/>
      <c r="B21" s="44"/>
      <c r="C21" s="44"/>
      <c r="D21" s="44"/>
      <c r="E21" s="44"/>
      <c r="F21" s="80"/>
    </row>
    <row r="22" spans="1:6" ht="18">
      <c r="A22" s="43"/>
      <c r="B22" s="45" t="s">
        <v>28</v>
      </c>
      <c r="C22" s="46" t="s">
        <v>29</v>
      </c>
      <c r="D22" s="44"/>
      <c r="E22" s="44"/>
      <c r="F22" s="42" t="s">
        <v>30</v>
      </c>
    </row>
    <row r="23" spans="1:6" ht="18">
      <c r="A23" s="43"/>
      <c r="B23" s="45" t="s">
        <v>31</v>
      </c>
      <c r="C23" s="46" t="s">
        <v>32</v>
      </c>
      <c r="D23" s="44"/>
      <c r="E23" s="44"/>
      <c r="F23" s="42" t="s">
        <v>31</v>
      </c>
    </row>
    <row r="24" spans="1:6">
      <c r="A24" s="44"/>
      <c r="B24" s="44"/>
      <c r="C24" s="44"/>
      <c r="D24" s="44"/>
      <c r="E24" s="44"/>
      <c r="F24" s="37"/>
    </row>
    <row r="25" spans="1:6">
      <c r="A25" s="44"/>
      <c r="B25" s="44"/>
      <c r="C25" s="44"/>
      <c r="D25" s="44"/>
      <c r="E25" s="44"/>
      <c r="F25" s="37"/>
    </row>
  </sheetData>
  <mergeCells count="8">
    <mergeCell ref="C16:E16"/>
    <mergeCell ref="C17:E17"/>
    <mergeCell ref="A1:F1"/>
    <mergeCell ref="A2:F2"/>
    <mergeCell ref="A3:F3"/>
    <mergeCell ref="C13:E13"/>
    <mergeCell ref="C14:E14"/>
    <mergeCell ref="C15:E1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ColWidth="9.140625" defaultRowHeight="15"/>
  <cols>
    <col min="1" max="1" width="9.28515625" style="30" bestFit="1" customWidth="1"/>
    <col min="2" max="2" width="42.28515625" style="31" customWidth="1"/>
    <col min="3" max="3" width="9.140625" style="23" customWidth="1"/>
    <col min="4" max="4" width="9.140625" style="32"/>
    <col min="5" max="5" width="11.28515625" style="297" bestFit="1" customWidth="1"/>
    <col min="6" max="6" width="16.42578125" style="297" customWidth="1"/>
    <col min="7" max="16384" width="9.140625" style="23"/>
  </cols>
  <sheetData>
    <row r="1" spans="1:6" ht="60.75" customHeight="1">
      <c r="A1" s="379" t="s">
        <v>0</v>
      </c>
      <c r="B1" s="379"/>
      <c r="C1" s="379"/>
      <c r="D1" s="379"/>
      <c r="E1" s="379"/>
      <c r="F1" s="379"/>
    </row>
    <row r="2" spans="1:6" ht="18.75">
      <c r="A2" s="380" t="s">
        <v>33</v>
      </c>
      <c r="B2" s="380"/>
      <c r="C2" s="380"/>
      <c r="D2" s="380"/>
      <c r="E2" s="380"/>
      <c r="F2" s="380"/>
    </row>
    <row r="3" spans="1:6" ht="55.5" customHeight="1">
      <c r="A3" s="381" t="str">
        <f>[1]Sheet1!A3</f>
        <v>Name of Work :- Construction of PCC Road at New Nagar Bandhgari from house of Yugal Singh Munda house to Prakash Ram house under ward no-06</v>
      </c>
      <c r="B3" s="381"/>
      <c r="C3" s="381"/>
      <c r="D3" s="381"/>
      <c r="E3" s="381"/>
      <c r="F3" s="381"/>
    </row>
    <row r="4" spans="1:6">
      <c r="A4" s="24" t="s">
        <v>35</v>
      </c>
      <c r="B4" s="24" t="s">
        <v>36</v>
      </c>
      <c r="C4" s="24" t="s">
        <v>37</v>
      </c>
      <c r="D4" s="24" t="s">
        <v>5</v>
      </c>
      <c r="E4" s="294" t="s">
        <v>38</v>
      </c>
      <c r="F4" s="294" t="s">
        <v>39</v>
      </c>
    </row>
    <row r="5" spans="1:6" ht="120">
      <c r="A5" s="131" t="str">
        <f>[1]Sheet1!A5</f>
        <v>1.            5.1.1</v>
      </c>
      <c r="B5" s="26" t="str">
        <f>[1]Sheet1!B5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134">
        <f>[1]Sheet1!G8</f>
        <v>32.29</v>
      </c>
      <c r="D5" s="25" t="str">
        <f>D6</f>
        <v>M3</v>
      </c>
      <c r="E5" s="295">
        <f>[1]Sheet1!I8</f>
        <v>151.82</v>
      </c>
      <c r="F5" s="295">
        <f>C5*E5</f>
        <v>4902.2677999999996</v>
      </c>
    </row>
    <row r="6" spans="1:6" ht="120">
      <c r="A6" s="131" t="str">
        <f>[1]Sheet1!A9</f>
        <v>2  4/M004</v>
      </c>
      <c r="B6" s="26" t="str">
        <f>[1]Sheet1!B9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134">
        <f>[1]Sheet1!G12</f>
        <v>9.6300000000000008</v>
      </c>
      <c r="D6" s="25" t="s">
        <v>158</v>
      </c>
      <c r="E6" s="295">
        <f>[1]Sheet1!I12</f>
        <v>347.85</v>
      </c>
      <c r="F6" s="295">
        <f t="shared" ref="F6:F15" si="0">C6*E6</f>
        <v>3349.7955000000006</v>
      </c>
    </row>
    <row r="7" spans="1:6" ht="90">
      <c r="A7" s="131" t="str">
        <f>[1]Sheet1!A13</f>
        <v>3 5.6.8WRD</v>
      </c>
      <c r="B7" s="26" t="str">
        <f>[1]Sheet1!B13</f>
        <v>Supplying and laying (properly as per design and drawing) rip-rap with good  quality of boulders duly packed including the cost of materials, royalty all taxes etc. but excluding the cost of carriage all complete as per specification and direction of E/I.</v>
      </c>
      <c r="C7" s="134">
        <f>[1]Sheet1!G16</f>
        <v>23.22</v>
      </c>
      <c r="D7" s="25" t="s">
        <v>158</v>
      </c>
      <c r="E7" s="295">
        <f>[1]Sheet1!I16</f>
        <v>1756.4</v>
      </c>
      <c r="F7" s="295">
        <f t="shared" si="0"/>
        <v>40783.608</v>
      </c>
    </row>
    <row r="8" spans="1:6" ht="90">
      <c r="A8" s="131" t="str">
        <f>[1]Sheet1!A17</f>
        <v>4 5.3.1.1</v>
      </c>
      <c r="B8" s="26" t="str">
        <f>[1]Sheet1!B17</f>
        <v>Providing and laying in position cement concrete of specified grade excluding the cost of centering and shuttering - All work up to plinth level1:1.5:3 (1 Cement : 1.5 coarse sand zone(III): 3 graded stone aggregate 20mm nominal size)</v>
      </c>
      <c r="C8" s="134">
        <f>[1]Sheet1!G20</f>
        <v>28.32</v>
      </c>
      <c r="D8" s="25" t="s">
        <v>158</v>
      </c>
      <c r="E8" s="295">
        <f>[1]Sheet1!I20</f>
        <v>4961.7299999999996</v>
      </c>
      <c r="F8" s="295">
        <f t="shared" si="0"/>
        <v>140516.1936</v>
      </c>
    </row>
    <row r="9" spans="1:6" ht="60">
      <c r="A9" s="131" t="str">
        <f>[1]Sheet1!A21</f>
        <v>55.3.17.1</v>
      </c>
      <c r="B9" s="26" t="str">
        <f>[1]Sheet1!B21</f>
        <v>Centering and Shuttering including strutting, propping etc and removal of from for   Foundation , footing , bases of columns etc for mass concrete.</v>
      </c>
      <c r="C9" s="134">
        <f>[1]Sheet1!G24</f>
        <v>18.59</v>
      </c>
      <c r="D9" s="25" t="s">
        <v>172</v>
      </c>
      <c r="E9" s="295">
        <f>[1]Sheet1!I24</f>
        <v>194.5</v>
      </c>
      <c r="F9" s="295">
        <f t="shared" si="0"/>
        <v>3615.7550000000001</v>
      </c>
    </row>
    <row r="10" spans="1:6">
      <c r="A10" s="27">
        <v>6</v>
      </c>
      <c r="B10" s="28" t="s">
        <v>175</v>
      </c>
      <c r="C10" s="29"/>
      <c r="D10" s="25"/>
      <c r="E10" s="295"/>
      <c r="F10" s="295"/>
    </row>
    <row r="11" spans="1:6">
      <c r="A11" s="160" t="s">
        <v>13</v>
      </c>
      <c r="B11" s="296" t="s">
        <v>342</v>
      </c>
      <c r="C11" s="134">
        <f>[1]Sheet1!G26</f>
        <v>12.18</v>
      </c>
      <c r="D11" s="25" t="s">
        <v>158</v>
      </c>
      <c r="E11" s="295">
        <v>848.82</v>
      </c>
      <c r="F11" s="295">
        <f t="shared" si="0"/>
        <v>10338.6276</v>
      </c>
    </row>
    <row r="12" spans="1:6">
      <c r="A12" s="160" t="s">
        <v>16</v>
      </c>
      <c r="B12" s="296" t="s">
        <v>351</v>
      </c>
      <c r="C12" s="26">
        <f>[1]Sheet1!G27</f>
        <v>9.6300000000000008</v>
      </c>
      <c r="D12" s="25" t="s">
        <v>158</v>
      </c>
      <c r="E12" s="295">
        <v>447.06</v>
      </c>
      <c r="F12" s="295">
        <f t="shared" si="0"/>
        <v>4305.1878000000006</v>
      </c>
    </row>
    <row r="13" spans="1:6">
      <c r="A13" s="160" t="s">
        <v>18</v>
      </c>
      <c r="B13" s="296" t="s">
        <v>19</v>
      </c>
      <c r="C13" s="134">
        <f>[1]Sheet1!G28</f>
        <v>23.22</v>
      </c>
      <c r="D13" s="25" t="s">
        <v>158</v>
      </c>
      <c r="E13" s="295">
        <v>679.66</v>
      </c>
      <c r="F13" s="295">
        <f t="shared" si="0"/>
        <v>15781.705199999999</v>
      </c>
    </row>
    <row r="14" spans="1:6">
      <c r="A14" s="160" t="s">
        <v>20</v>
      </c>
      <c r="B14" s="296" t="s">
        <v>21</v>
      </c>
      <c r="C14" s="134">
        <f>[1]Sheet1!G29</f>
        <v>24.36</v>
      </c>
      <c r="D14" s="25" t="s">
        <v>158</v>
      </c>
      <c r="E14" s="295">
        <v>447.06</v>
      </c>
      <c r="F14" s="295">
        <f t="shared" si="0"/>
        <v>10890.381600000001</v>
      </c>
    </row>
    <row r="15" spans="1:6">
      <c r="A15" s="160" t="s">
        <v>22</v>
      </c>
      <c r="B15" s="296" t="s">
        <v>23</v>
      </c>
      <c r="C15" s="26">
        <f>[1]Sheet1!G30</f>
        <v>32.29</v>
      </c>
      <c r="D15" s="25" t="s">
        <v>158</v>
      </c>
      <c r="E15" s="295">
        <v>117.54</v>
      </c>
      <c r="F15" s="295">
        <f t="shared" si="0"/>
        <v>3795.3666000000003</v>
      </c>
    </row>
    <row r="16" spans="1:6" ht="18.75">
      <c r="A16" s="27"/>
      <c r="B16" s="28"/>
      <c r="C16" s="29"/>
      <c r="D16" s="25"/>
      <c r="E16" s="295" t="s">
        <v>59</v>
      </c>
      <c r="F16" s="106">
        <f>SUM(F5:F15)</f>
        <v>238278.88870000001</v>
      </c>
    </row>
    <row r="17" spans="1:6" ht="18.75">
      <c r="A17" s="378" t="s">
        <v>348</v>
      </c>
      <c r="B17" s="378"/>
      <c r="C17" s="378"/>
      <c r="D17" s="378"/>
      <c r="E17" s="378"/>
      <c r="F17" s="106">
        <f>ROUND((F16*18%),2)</f>
        <v>42890.2</v>
      </c>
    </row>
    <row r="18" spans="1:6" ht="18.75">
      <c r="A18" s="378" t="s">
        <v>24</v>
      </c>
      <c r="B18" s="378" t="s">
        <v>24</v>
      </c>
      <c r="C18" s="378"/>
      <c r="D18" s="378"/>
      <c r="E18" s="378"/>
      <c r="F18" s="106">
        <f>F16+F17</f>
        <v>281169.08870000002</v>
      </c>
    </row>
    <row r="19" spans="1:6" ht="18.75">
      <c r="A19" s="378" t="s">
        <v>349</v>
      </c>
      <c r="B19" s="378" t="s">
        <v>350</v>
      </c>
      <c r="C19" s="378"/>
      <c r="D19" s="378"/>
      <c r="E19" s="378"/>
      <c r="F19" s="106">
        <f>ROUND((F18*1%),2)</f>
        <v>2811.69</v>
      </c>
    </row>
    <row r="20" spans="1:6" ht="18.75">
      <c r="A20" s="378" t="s">
        <v>24</v>
      </c>
      <c r="B20" s="378" t="s">
        <v>24</v>
      </c>
      <c r="C20" s="378"/>
      <c r="D20" s="378"/>
      <c r="E20" s="378"/>
      <c r="F20" s="106">
        <f>F18+F19</f>
        <v>283980.77870000002</v>
      </c>
    </row>
    <row r="21" spans="1:6" ht="18.75">
      <c r="A21" s="378" t="s">
        <v>27</v>
      </c>
      <c r="B21" s="378" t="s">
        <v>27</v>
      </c>
      <c r="C21" s="378"/>
      <c r="D21" s="378"/>
      <c r="E21" s="378"/>
      <c r="F21" s="106">
        <f>ROUND((F20),0)</f>
        <v>283981</v>
      </c>
    </row>
  </sheetData>
  <mergeCells count="8">
    <mergeCell ref="A20:E20"/>
    <mergeCell ref="A21:E21"/>
    <mergeCell ref="A1:F1"/>
    <mergeCell ref="A2:F2"/>
    <mergeCell ref="A3:F3"/>
    <mergeCell ref="A17:E17"/>
    <mergeCell ref="A18:E18"/>
    <mergeCell ref="A19:E19"/>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dimension ref="A1:I26"/>
  <sheetViews>
    <sheetView workbookViewId="0">
      <selection activeCell="A3" sqref="A3:F3"/>
    </sheetView>
  </sheetViews>
  <sheetFormatPr defaultRowHeight="15"/>
  <cols>
    <col min="1" max="1" width="9.5703125" customWidth="1"/>
    <col min="2" max="2" width="55.28515625" customWidth="1"/>
    <col min="4" max="4" width="9.140625" style="88"/>
    <col min="5" max="5" width="13.140625" customWidth="1"/>
    <col min="6" max="6" width="14.85546875" customWidth="1"/>
  </cols>
  <sheetData>
    <row r="1" spans="1:9" ht="21" customHeight="1">
      <c r="A1" s="460" t="s">
        <v>0</v>
      </c>
      <c r="B1" s="461"/>
      <c r="C1" s="461"/>
      <c r="D1" s="461"/>
      <c r="E1" s="461"/>
      <c r="F1" s="461"/>
      <c r="G1" s="82"/>
      <c r="H1" s="82"/>
      <c r="I1" s="82"/>
    </row>
    <row r="2" spans="1:9" ht="21" customHeight="1">
      <c r="A2" s="462" t="s">
        <v>75</v>
      </c>
      <c r="B2" s="462"/>
      <c r="C2" s="462"/>
      <c r="D2" s="462"/>
      <c r="E2" s="462"/>
      <c r="F2" s="462"/>
      <c r="G2" s="83"/>
      <c r="H2" s="83"/>
      <c r="I2" s="83"/>
    </row>
    <row r="3" spans="1:9" ht="30.6" customHeight="1">
      <c r="A3" s="463" t="str">
        <f>[18]Estimate!A2</f>
        <v>Name of Work :-INSTALLATION OF RALLING ON BRIDGE AT RIVER SIDE, BESIDE LALALAJ PATRAI SCHOOL UNDER WARD NO-24</v>
      </c>
      <c r="B3" s="464"/>
      <c r="C3" s="464"/>
      <c r="D3" s="464"/>
      <c r="E3" s="464"/>
      <c r="F3" s="465"/>
    </row>
    <row r="4" spans="1:9" ht="32.1" customHeight="1">
      <c r="A4" s="48" t="s">
        <v>64</v>
      </c>
      <c r="B4" s="49" t="s">
        <v>3</v>
      </c>
      <c r="C4" s="49" t="s">
        <v>4</v>
      </c>
      <c r="D4" s="49" t="s">
        <v>5</v>
      </c>
      <c r="E4" s="54" t="s">
        <v>65</v>
      </c>
      <c r="F4" s="1" t="s">
        <v>66</v>
      </c>
    </row>
    <row r="5" spans="1:9" ht="14.45" customHeight="1">
      <c r="A5" s="48">
        <f>[18]Estimate!A4</f>
        <v>1</v>
      </c>
      <c r="B5" s="51" t="str">
        <f>[18]Estimate!B4</f>
        <v>Labour for site clearence before and after the work etc.</v>
      </c>
      <c r="C5" s="52">
        <f>[18]Estimate!G4</f>
        <v>6</v>
      </c>
      <c r="D5" s="53" t="s">
        <v>41</v>
      </c>
      <c r="E5" s="54">
        <f>[18]Estimate!I4</f>
        <v>326.85000000000002</v>
      </c>
      <c r="F5" s="7">
        <f t="shared" ref="F5:F14" si="0">ROUND(C5*E5,2)</f>
        <v>1961.1</v>
      </c>
    </row>
    <row r="6" spans="1:9" ht="14.45" customHeight="1">
      <c r="A6" s="48">
        <f>[18]Estimate!A5</f>
        <v>2</v>
      </c>
      <c r="B6" s="51" t="str">
        <f>[18]Estimate!B5</f>
        <v>Railing Welding :- Welder Grade-(i) 1 Nos@ 6days</v>
      </c>
      <c r="C6" s="52">
        <f>[18]Estimate!G5</f>
        <v>3</v>
      </c>
      <c r="D6" s="53" t="s">
        <v>41</v>
      </c>
      <c r="E6" s="54">
        <f>[18]Estimate!I5</f>
        <v>521.41999999999996</v>
      </c>
      <c r="F6" s="7">
        <f t="shared" si="0"/>
        <v>1564.26</v>
      </c>
    </row>
    <row r="7" spans="1:9" ht="65.45" customHeight="1">
      <c r="A7" s="48" t="str">
        <f>[18]Estimate!A6</f>
        <v>3         5.1.1.</v>
      </c>
      <c r="B7" s="57" t="str">
        <f>[18]Estimate!B6</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
      <c r="C7" s="52">
        <f>[18]Estimate!G9</f>
        <v>0.6</v>
      </c>
      <c r="D7" s="53" t="s">
        <v>15</v>
      </c>
      <c r="E7" s="60">
        <f>[18]Estimate!I9</f>
        <v>151.82</v>
      </c>
      <c r="F7" s="7">
        <f t="shared" si="0"/>
        <v>91.09</v>
      </c>
    </row>
    <row r="8" spans="1:9" ht="65.45" customHeight="1">
      <c r="A8" s="48" t="str">
        <f>[18]Estimate!A10</f>
        <v>4.         5.1.10</v>
      </c>
      <c r="B8" s="57" t="str">
        <f>[18]Estimate!B10</f>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
      <c r="C8" s="52">
        <f>[18]Estimate!G13</f>
        <v>0.06</v>
      </c>
      <c r="D8" s="53" t="s">
        <v>15</v>
      </c>
      <c r="E8" s="60">
        <f>[18]Estimate!I13</f>
        <v>589.53</v>
      </c>
      <c r="F8" s="7">
        <f t="shared" si="0"/>
        <v>35.369999999999997</v>
      </c>
    </row>
    <row r="9" spans="1:9" ht="51">
      <c r="A9" s="48" t="str">
        <f>[18]Estimate!A14</f>
        <v>5.         5.6.8</v>
      </c>
      <c r="B9" s="57" t="str">
        <f>[18]Estimate!B14</f>
        <v>Supplying and laying (properly as per design and drawing ) rip-rap with good quality of boulders duly packed including the cost of materials,royalty all taxes etc.but excluding the cost of carriage, all complete as per specification and direction of E/I.</v>
      </c>
      <c r="C9" s="52">
        <f>[18]Estimate!G17</f>
        <v>0.1</v>
      </c>
      <c r="D9" s="53" t="s">
        <v>15</v>
      </c>
      <c r="E9" s="60">
        <f>[18]Estimate!I17</f>
        <v>1756.4</v>
      </c>
      <c r="F9" s="7">
        <f t="shared" si="0"/>
        <v>175.64</v>
      </c>
    </row>
    <row r="10" spans="1:9" ht="49.5" customHeight="1">
      <c r="A10" s="48" t="str">
        <f>[18]Estimate!A18</f>
        <v>6.        5.3.1.1</v>
      </c>
      <c r="B10" s="55" t="str">
        <f>[18]Estimate!B18</f>
        <v xml:space="preserve">Providing and laying in position concrete of specified grade excluding the cost of centering and shuttering- All work upto plinth level : 1:1½:3 (1 cemet : 1½ coarse sand (zone-iii) : 3 graded stone aggregate 20mm nominal size )  </v>
      </c>
      <c r="C10" s="52">
        <f>[18]Estimate!G22</f>
        <v>0.37</v>
      </c>
      <c r="D10" s="53" t="s">
        <v>15</v>
      </c>
      <c r="E10" s="56">
        <f>[18]Estimate!I22</f>
        <v>4961.7299999999996</v>
      </c>
      <c r="F10" s="7">
        <f t="shared" si="0"/>
        <v>1835.84</v>
      </c>
    </row>
    <row r="11" spans="1:9" ht="45.6" customHeight="1">
      <c r="A11" s="48" t="str">
        <f>[18]Estimate!A24</f>
        <v>7                 5.5.30</v>
      </c>
      <c r="B11" s="84" t="str">
        <f>[18]Estimate!B24</f>
        <v>Supplying fitting and fixing M.S grill gate with M.S grills made of 20x6mm M.S flats or 16mm M.S square bars fitted on 25x25x6mm M.S Angle frame –do—(when steel is not supplied by the deptt.)</v>
      </c>
      <c r="C11" s="52">
        <f>[18]Estimate!G33</f>
        <v>388.69550000000004</v>
      </c>
      <c r="D11" s="53" t="str">
        <f>[18]Estimate!H33</f>
        <v>kg</v>
      </c>
      <c r="E11" s="60">
        <f>[18]Estimate!I33</f>
        <v>118.98</v>
      </c>
      <c r="F11" s="7">
        <f t="shared" si="0"/>
        <v>46246.99</v>
      </c>
    </row>
    <row r="12" spans="1:9" ht="60" customHeight="1">
      <c r="A12" s="48" t="str">
        <f>[18]Estimate!A34</f>
        <v>8         5.8.41</v>
      </c>
      <c r="B12" s="57" t="str">
        <f>[18]Estimate!B34</f>
        <v>Providing primer one coat of red lead paint of approved make over new steel surface including preparing the surface after cleaning removing dust,dirt,scales ,smokes and grease and cleaning the surface thoroughly including cost of scaffholding and taxes all complete as per building specification and direction of E/I</v>
      </c>
      <c r="C12" s="52">
        <f>[18]Estimate!G39</f>
        <v>27.1</v>
      </c>
      <c r="D12" s="53" t="str">
        <f>[18]Estimate!H39</f>
        <v>M²</v>
      </c>
      <c r="E12" s="60">
        <f>[18]Estimate!I39</f>
        <v>57.77</v>
      </c>
      <c r="F12" s="7">
        <f t="shared" si="0"/>
        <v>1565.57</v>
      </c>
    </row>
    <row r="13" spans="1:9" ht="51.95" customHeight="1">
      <c r="A13" s="48" t="str">
        <f>[18]Estimate!A40</f>
        <v>9         5.8.42</v>
      </c>
      <c r="B13" s="57" t="str">
        <f>[18]Estimate!B40</f>
        <v>Providing one coat of painting with ready mixed paint of approved shade and make over steel surface  including cleaning the surface thoroughly,scaffolding and taxes all complete as per building specification and direction of E/I</v>
      </c>
      <c r="C13" s="85">
        <f>[18]Estimate!G41</f>
        <v>27.1</v>
      </c>
      <c r="D13" s="53" t="str">
        <f>[18]Estimate!H41</f>
        <v>M²</v>
      </c>
      <c r="E13" s="60">
        <f>[18]Estimate!I41</f>
        <v>43.3</v>
      </c>
      <c r="F13" s="7">
        <f t="shared" si="0"/>
        <v>1173.43</v>
      </c>
    </row>
    <row r="14" spans="1:9" ht="38.25">
      <c r="A14" s="48" t="str">
        <f>[18]Estimate!A42</f>
        <v>10.           14.4          (R.C.D)</v>
      </c>
      <c r="B14" s="57" t="str">
        <f>[18]Estimate!B42</f>
        <v>Providing and laying Cement concrete wearing coat M-30 grade including reinforcement complete as per drawing and Technical Specifications</v>
      </c>
      <c r="C14" s="58">
        <f>[18]Estimate!G45</f>
        <v>2.8</v>
      </c>
      <c r="D14" s="53" t="str">
        <f>[18]Estimate!H45</f>
        <v>M³</v>
      </c>
      <c r="E14" s="60">
        <f>[18]Estimate!I45</f>
        <v>10876.5</v>
      </c>
      <c r="F14" s="7">
        <f t="shared" si="0"/>
        <v>30454.2</v>
      </c>
    </row>
    <row r="15" spans="1:9">
      <c r="A15" s="48">
        <f>[18]Estimate!A48</f>
        <v>11</v>
      </c>
      <c r="B15" s="61" t="str">
        <f>[18]Estimate!B48</f>
        <v>CARRIAGE OF MATERIALS</v>
      </c>
      <c r="C15" s="62"/>
      <c r="D15" s="62"/>
      <c r="E15" s="63"/>
      <c r="F15" s="7"/>
    </row>
    <row r="16" spans="1:9">
      <c r="A16" s="49" t="str">
        <f>[18]Estimate!A49</f>
        <v>(i)</v>
      </c>
      <c r="B16" s="64" t="str">
        <f>[18]Estimate!B49</f>
        <v>SAND-LEAD-49KM</v>
      </c>
      <c r="C16" s="62">
        <f>[18]Estimate!G49</f>
        <v>1.28</v>
      </c>
      <c r="D16" s="62" t="s">
        <v>15</v>
      </c>
      <c r="E16" s="54">
        <f>[18]Estimate!I49</f>
        <v>848.82</v>
      </c>
      <c r="F16" s="7">
        <f>ROUND(C16*E16,2)</f>
        <v>1086.49</v>
      </c>
    </row>
    <row r="17" spans="1:6">
      <c r="A17" s="49" t="str">
        <f>[18]Estimate!A50</f>
        <v>(ii)</v>
      </c>
      <c r="B17" s="64" t="str">
        <f>[18]Estimate!B50</f>
        <v>LOCAL SAND-LEAD-14KM</v>
      </c>
      <c r="C17" s="62">
        <f>[18]Estimate!G50</f>
        <v>0.06</v>
      </c>
      <c r="D17" s="62" t="s">
        <v>15</v>
      </c>
      <c r="E17" s="54">
        <f>[18]Estimate!I50</f>
        <v>328.02</v>
      </c>
      <c r="F17" s="7">
        <f>ROUND(C17*E17,2)</f>
        <v>19.68</v>
      </c>
    </row>
    <row r="18" spans="1:6" ht="14.45" customHeight="1">
      <c r="A18" s="49" t="str">
        <f>[18]Estimate!A51</f>
        <v>(iii)</v>
      </c>
      <c r="B18" s="65" t="str">
        <f>[18]Estimate!B51</f>
        <v>STONE CHIPS-LEAD-22KM</v>
      </c>
      <c r="C18" s="62">
        <f>[18]Estimate!G51</f>
        <v>2.56</v>
      </c>
      <c r="D18" s="62" t="s">
        <v>15</v>
      </c>
      <c r="E18" s="54">
        <f>[18]Estimate!I51</f>
        <v>447.06</v>
      </c>
      <c r="F18" s="7">
        <f>ROUND(C18*E18,2)</f>
        <v>1144.47</v>
      </c>
    </row>
    <row r="19" spans="1:6">
      <c r="A19" s="49" t="str">
        <f>[18]Estimate!A52</f>
        <v>(iv)</v>
      </c>
      <c r="B19" s="65" t="str">
        <f>[18]Estimate!B52</f>
        <v>BOULDER-LEAD-36KM</v>
      </c>
      <c r="C19" s="86">
        <f>[18]Estimate!G52</f>
        <v>0.1</v>
      </c>
      <c r="D19" s="62" t="s">
        <v>15</v>
      </c>
      <c r="E19" s="54">
        <f>[18]Estimate!I52</f>
        <v>679.66</v>
      </c>
      <c r="F19" s="7">
        <f>ROUND(C19*E19,2)</f>
        <v>67.97</v>
      </c>
    </row>
    <row r="20" spans="1:6" ht="14.45" customHeight="1">
      <c r="A20" s="49" t="str">
        <f>[18]Estimate!A53</f>
        <v>(v)</v>
      </c>
      <c r="B20" s="87" t="str">
        <f>[18]Estimate!B53</f>
        <v>EARTH-LEAD-01KM</v>
      </c>
      <c r="C20" s="62">
        <f>[18]Estimate!G53</f>
        <v>0.6</v>
      </c>
      <c r="D20" s="62" t="s">
        <v>15</v>
      </c>
      <c r="E20" s="54">
        <f>[18]Estimate!I53</f>
        <v>117.54</v>
      </c>
      <c r="F20" s="7">
        <f>ROUND(C20*E20,2)</f>
        <v>70.52</v>
      </c>
    </row>
    <row r="21" spans="1:6">
      <c r="A21" s="66"/>
      <c r="B21" s="67"/>
      <c r="C21" s="466" t="s">
        <v>24</v>
      </c>
      <c r="D21" s="466"/>
      <c r="E21" s="466"/>
      <c r="F21" s="7">
        <f>SUM(F5:F20)</f>
        <v>87492.62</v>
      </c>
    </row>
    <row r="22" spans="1:6">
      <c r="A22" s="66"/>
      <c r="B22" s="67"/>
      <c r="C22" s="459" t="s">
        <v>25</v>
      </c>
      <c r="D22" s="459"/>
      <c r="E22" s="459"/>
      <c r="F22" s="7">
        <f>F21*18%</f>
        <v>15748.671599999998</v>
      </c>
    </row>
    <row r="23" spans="1:6" ht="14.45" customHeight="1">
      <c r="A23" s="66"/>
      <c r="B23" s="67"/>
      <c r="C23" s="466" t="s">
        <v>24</v>
      </c>
      <c r="D23" s="466"/>
      <c r="E23" s="466"/>
      <c r="F23" s="7">
        <f>SUM(F21+F22)</f>
        <v>103241.2916</v>
      </c>
    </row>
    <row r="24" spans="1:6">
      <c r="A24" s="66"/>
      <c r="B24" s="67"/>
      <c r="C24" s="458" t="s">
        <v>71</v>
      </c>
      <c r="D24" s="458"/>
      <c r="E24" s="458"/>
      <c r="F24" s="7">
        <f>F23*1%</f>
        <v>1032.412916</v>
      </c>
    </row>
    <row r="25" spans="1:6" ht="15.6" customHeight="1">
      <c r="A25" s="66"/>
      <c r="B25" s="67"/>
      <c r="C25" s="459" t="s">
        <v>24</v>
      </c>
      <c r="D25" s="459"/>
      <c r="E25" s="459"/>
      <c r="F25" s="7">
        <f>SUM(F23:F24)</f>
        <v>104273.704516</v>
      </c>
    </row>
    <row r="26" spans="1:6">
      <c r="A26" s="66"/>
      <c r="B26" s="67"/>
      <c r="C26" s="459" t="s">
        <v>27</v>
      </c>
      <c r="D26" s="459"/>
      <c r="E26" s="459"/>
      <c r="F26" s="7">
        <v>104274</v>
      </c>
    </row>
  </sheetData>
  <mergeCells count="9">
    <mergeCell ref="C24:E24"/>
    <mergeCell ref="C25:E25"/>
    <mergeCell ref="C26:E26"/>
    <mergeCell ref="A1:F1"/>
    <mergeCell ref="A2:F2"/>
    <mergeCell ref="A3:F3"/>
    <mergeCell ref="C21:E21"/>
    <mergeCell ref="C22:E22"/>
    <mergeCell ref="C23:E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32"/>
  <sheetViews>
    <sheetView workbookViewId="0">
      <selection activeCell="A3" sqref="A3:F3"/>
    </sheetView>
  </sheetViews>
  <sheetFormatPr defaultRowHeight="15"/>
  <cols>
    <col min="2" max="2" width="51.42578125" customWidth="1"/>
    <col min="5" max="5" width="9" bestFit="1" customWidth="1"/>
    <col min="6" max="6" width="16.28515625" style="20" bestFit="1" customWidth="1"/>
  </cols>
  <sheetData>
    <row r="1" spans="1:6" ht="25.5">
      <c r="A1" s="469" t="s">
        <v>0</v>
      </c>
      <c r="B1" s="470"/>
      <c r="C1" s="470"/>
      <c r="D1" s="470"/>
      <c r="E1" s="470"/>
      <c r="F1" s="471"/>
    </row>
    <row r="2" spans="1:6" ht="18" customHeight="1">
      <c r="A2" s="472" t="s">
        <v>1</v>
      </c>
      <c r="B2" s="473"/>
      <c r="C2" s="473"/>
      <c r="D2" s="473"/>
      <c r="E2" s="473"/>
      <c r="F2" s="474"/>
    </row>
    <row r="3" spans="1:6" ht="32.450000000000003" customHeight="1">
      <c r="A3" s="475" t="str">
        <f>[19]ESTIMATE!A2</f>
        <v>Name of Work :-CONSTRUCTION OF RCC DRAIN KADRU, SARNA TOLI, MUNNAZIR HOUSE TO VICKY HOUSE UNDER WARD NO-24</v>
      </c>
      <c r="B3" s="476"/>
      <c r="C3" s="476"/>
      <c r="D3" s="476"/>
      <c r="E3" s="476"/>
      <c r="F3" s="477"/>
    </row>
    <row r="4" spans="1:6" ht="31.5">
      <c r="A4" s="89" t="s">
        <v>2</v>
      </c>
      <c r="B4" s="90" t="s">
        <v>3</v>
      </c>
      <c r="C4" s="90" t="s">
        <v>4</v>
      </c>
      <c r="D4" s="90" t="s">
        <v>5</v>
      </c>
      <c r="E4" s="89" t="s">
        <v>6</v>
      </c>
      <c r="F4" s="91" t="s">
        <v>7</v>
      </c>
    </row>
    <row r="5" spans="1:6" ht="36.75" customHeight="1">
      <c r="A5" s="89">
        <f>[19]ESTIMATE!A4</f>
        <v>1</v>
      </c>
      <c r="B5" s="92" t="str">
        <f>[19]ESTIMATE!B4</f>
        <v>Labour for site clearence before and after the work etc.</v>
      </c>
      <c r="C5" s="93">
        <f>[19]ESTIMATE!G4</f>
        <v>3</v>
      </c>
      <c r="D5" s="94" t="s">
        <v>15</v>
      </c>
      <c r="E5" s="93">
        <f>[19]ESTIMATE!I4</f>
        <v>326.85000000000002</v>
      </c>
      <c r="F5" s="95">
        <f t="shared" ref="F5:F14" si="0">ROUND(C5*E5,2)</f>
        <v>980.55</v>
      </c>
    </row>
    <row r="6" spans="1:6" ht="63" customHeight="1">
      <c r="A6" s="89" t="str">
        <f>[19]ESTIMATE!A5</f>
        <v xml:space="preserve">    2         5.10.2</v>
      </c>
      <c r="B6" s="96" t="str">
        <f>[19]ESTIMATE!B5</f>
        <v>Dismantling plain cement or lime concrete work including ………do…….complete as per specification and  direction of E/I.</v>
      </c>
      <c r="C6" s="93">
        <f>[19]ESTIMATE!G7</f>
        <v>3.4</v>
      </c>
      <c r="D6" s="94" t="s">
        <v>15</v>
      </c>
      <c r="E6" s="93">
        <f>[19]ESTIMATE!I7</f>
        <v>955.89</v>
      </c>
      <c r="F6" s="95">
        <f t="shared" si="0"/>
        <v>3250.03</v>
      </c>
    </row>
    <row r="7" spans="1:6" ht="126">
      <c r="A7" s="89" t="str">
        <f>[19]ESTIMATE!A8</f>
        <v>3       5.1.1.</v>
      </c>
      <c r="B7" s="96" t="s">
        <v>9</v>
      </c>
      <c r="C7" s="93">
        <f>[19]ESTIMATE!G12</f>
        <v>20.04</v>
      </c>
      <c r="D7" s="94" t="s">
        <v>15</v>
      </c>
      <c r="E7" s="93">
        <f>[19]ESTIMATE!I12</f>
        <v>151.82</v>
      </c>
      <c r="F7" s="95">
        <f t="shared" si="0"/>
        <v>3042.47</v>
      </c>
    </row>
    <row r="8" spans="1:6" ht="110.25">
      <c r="A8" s="89" t="str">
        <f>[19]ESTIMATE!A13</f>
        <v>4.           M-004</v>
      </c>
      <c r="B8" s="96" t="s">
        <v>46</v>
      </c>
      <c r="C8" s="93">
        <f>[19]ESTIMATE!G16</f>
        <v>2.19</v>
      </c>
      <c r="D8" s="94" t="s">
        <v>15</v>
      </c>
      <c r="E8" s="93">
        <f>[19]ESTIMATE!I16</f>
        <v>481.67</v>
      </c>
      <c r="F8" s="95">
        <f t="shared" si="0"/>
        <v>1054.8599999999999</v>
      </c>
    </row>
    <row r="9" spans="1:6" ht="78.75">
      <c r="A9" s="89" t="str">
        <f>[19]ESTIMATE!A17</f>
        <v>5.       5.6.8 (C.I.W.)</v>
      </c>
      <c r="B9" s="96" t="s">
        <v>48</v>
      </c>
      <c r="C9" s="93">
        <f>[19]ESTIMATE!G20</f>
        <v>3.69</v>
      </c>
      <c r="D9" s="94" t="s">
        <v>15</v>
      </c>
      <c r="E9" s="93">
        <f>[19]ESTIMATE!I20</f>
        <v>1756.4</v>
      </c>
      <c r="F9" s="95">
        <f t="shared" si="0"/>
        <v>6481.12</v>
      </c>
    </row>
    <row r="10" spans="1:6" ht="65.099999999999994" customHeight="1">
      <c r="A10" s="89" t="str">
        <f>[19]ESTIMATE!A21</f>
        <v>6.                                    5.3.10</v>
      </c>
      <c r="B10" s="97" t="str">
        <f>[19]ESTIMATE!B21</f>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
      <c r="C10" s="93">
        <f>[19]ESTIMATE!G25</f>
        <v>10.97</v>
      </c>
      <c r="D10" s="94" t="s">
        <v>15</v>
      </c>
      <c r="E10" s="93">
        <f>[19]ESTIMATE!I25</f>
        <v>6082.45</v>
      </c>
      <c r="F10" s="95">
        <f t="shared" si="0"/>
        <v>66724.479999999996</v>
      </c>
    </row>
    <row r="11" spans="1:6" ht="65.099999999999994" customHeight="1">
      <c r="A11" s="89" t="str">
        <f>[19]ESTIMATE!A26</f>
        <v>7                  5.3.11</v>
      </c>
      <c r="B11" s="97" t="str">
        <f>[19]ESTIMATE!B26</f>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
      <c r="C11" s="93">
        <f>[19]ESTIMATE!G29</f>
        <v>4.3899999999999997</v>
      </c>
      <c r="D11" s="94" t="s">
        <v>15</v>
      </c>
      <c r="E11" s="93">
        <f>[19]ESTIMATE!I29</f>
        <v>6308.87</v>
      </c>
      <c r="F11" s="95">
        <f t="shared" si="0"/>
        <v>27695.94</v>
      </c>
    </row>
    <row r="12" spans="1:6" ht="65.099999999999994" customHeight="1">
      <c r="A12" s="89">
        <f>[19]ESTIMATE!A30</f>
        <v>8</v>
      </c>
      <c r="B12" s="97" t="str">
        <f>[19]ESTIMATE!B30</f>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
      <c r="C12" s="93">
        <f>[19]ESTIMATE!G34</f>
        <v>0.56999999999999995</v>
      </c>
      <c r="D12" s="94" t="str">
        <f>[19]ESTIMATE!H34</f>
        <v>MT</v>
      </c>
      <c r="E12" s="93">
        <f>[19]ESTIMATE!I34</f>
        <v>83314.02</v>
      </c>
      <c r="F12" s="95">
        <f t="shared" si="0"/>
        <v>47488.99</v>
      </c>
    </row>
    <row r="13" spans="1:6" ht="15.75">
      <c r="A13" s="89"/>
      <c r="B13" s="97"/>
      <c r="C13" s="93">
        <f>[19]ESTIMATE!G38</f>
        <v>0.69</v>
      </c>
      <c r="D13" s="94" t="str">
        <f>[19]ESTIMATE!H38</f>
        <v>MT</v>
      </c>
      <c r="E13" s="93">
        <f>[19]ESTIMATE!I38</f>
        <v>82096.539999999994</v>
      </c>
      <c r="F13" s="95">
        <f t="shared" si="0"/>
        <v>56646.61</v>
      </c>
    </row>
    <row r="14" spans="1:6" ht="63">
      <c r="A14" s="89" t="str">
        <f>[19]ESTIMATE!A39</f>
        <v>9                 5.3.17.1</v>
      </c>
      <c r="B14" s="96" t="str">
        <f>[19]ESTIMATE!B39</f>
        <v>Centering and shuttering including strutting, propping etc. and removal of from for Foundations,footings, bases of columns, etc. for mass concrete.</v>
      </c>
      <c r="C14" s="93">
        <f>[19]ESTIMATE!G43</f>
        <v>100.84</v>
      </c>
      <c r="D14" s="98" t="s">
        <v>11</v>
      </c>
      <c r="E14" s="89">
        <f>[19]ESTIMATE!I43</f>
        <v>194.5</v>
      </c>
      <c r="F14" s="91">
        <f t="shared" si="0"/>
        <v>19613.38</v>
      </c>
    </row>
    <row r="15" spans="1:6" ht="28.5" customHeight="1">
      <c r="A15" s="89">
        <f>[19]ESTIMATE!A44</f>
        <v>10</v>
      </c>
      <c r="B15" s="99" t="s">
        <v>12</v>
      </c>
      <c r="C15" s="94"/>
      <c r="D15" s="100"/>
      <c r="E15" s="101"/>
      <c r="F15" s="95"/>
    </row>
    <row r="16" spans="1:6" ht="28.5" customHeight="1">
      <c r="A16" s="102" t="s">
        <v>13</v>
      </c>
      <c r="B16" s="103" t="s">
        <v>76</v>
      </c>
      <c r="C16" s="94">
        <f>PRODUCT('[19]MATERIAL '!F7)</f>
        <v>6.6</v>
      </c>
      <c r="D16" s="100" t="s">
        <v>15</v>
      </c>
      <c r="E16" s="1">
        <f>[19]ESTIMATE!I45</f>
        <v>848.82</v>
      </c>
      <c r="F16" s="95">
        <f t="shared" ref="F16:F20" si="1">ROUND(C16*E16,2)</f>
        <v>5602.21</v>
      </c>
    </row>
    <row r="17" spans="1:6" ht="28.5" customHeight="1">
      <c r="A17" s="102" t="s">
        <v>16</v>
      </c>
      <c r="B17" s="103" t="s">
        <v>77</v>
      </c>
      <c r="C17" s="94">
        <f>PRODUCT('[19]MATERIAL '!G7)</f>
        <v>2.19</v>
      </c>
      <c r="D17" s="100" t="s">
        <v>15</v>
      </c>
      <c r="E17" s="34">
        <f>[19]ESTIMATE!I46</f>
        <v>447.06</v>
      </c>
      <c r="F17" s="95">
        <f t="shared" si="1"/>
        <v>979.06</v>
      </c>
    </row>
    <row r="18" spans="1:6" ht="28.5" customHeight="1">
      <c r="A18" s="102" t="s">
        <v>18</v>
      </c>
      <c r="B18" s="104" t="s">
        <v>78</v>
      </c>
      <c r="C18" s="94">
        <f>PRODUCT('[19]MATERIAL '!H7)</f>
        <v>13.21</v>
      </c>
      <c r="D18" s="100" t="s">
        <v>15</v>
      </c>
      <c r="E18" s="34">
        <f>[19]ESTIMATE!I47</f>
        <v>447.06</v>
      </c>
      <c r="F18" s="95">
        <f t="shared" si="1"/>
        <v>5905.66</v>
      </c>
    </row>
    <row r="19" spans="1:6" ht="28.5" customHeight="1">
      <c r="A19" s="102" t="s">
        <v>20</v>
      </c>
      <c r="B19" s="104" t="s">
        <v>79</v>
      </c>
      <c r="C19" s="94">
        <f>PRODUCT('[19]MATERIAL '!I7)</f>
        <v>3.69</v>
      </c>
      <c r="D19" s="100" t="s">
        <v>15</v>
      </c>
      <c r="E19" s="1">
        <f>[19]ESTIMATE!I48</f>
        <v>679.66</v>
      </c>
      <c r="F19" s="95">
        <f t="shared" si="1"/>
        <v>2507.9499999999998</v>
      </c>
    </row>
    <row r="20" spans="1:6" ht="28.5" customHeight="1">
      <c r="A20" s="102" t="s">
        <v>22</v>
      </c>
      <c r="B20" s="96" t="s">
        <v>80</v>
      </c>
      <c r="C20" s="94">
        <f>PRODUCT('[19]MATERIAL '!J7)</f>
        <v>20.04</v>
      </c>
      <c r="D20" s="100" t="s">
        <v>15</v>
      </c>
      <c r="E20" s="34">
        <f>[19]ESTIMATE!I49</f>
        <v>117.54</v>
      </c>
      <c r="F20" s="95">
        <f t="shared" si="1"/>
        <v>2355.5</v>
      </c>
    </row>
    <row r="21" spans="1:6" ht="15.75">
      <c r="A21" s="105"/>
      <c r="B21" s="105"/>
      <c r="C21" s="467" t="s">
        <v>24</v>
      </c>
      <c r="D21" s="467"/>
      <c r="E21" s="468"/>
      <c r="F21" s="95">
        <f>SUM(F5:F20)</f>
        <v>250328.81</v>
      </c>
    </row>
    <row r="22" spans="1:6" ht="15.75">
      <c r="A22" s="105"/>
      <c r="B22" s="105"/>
      <c r="C22" s="478" t="s">
        <v>25</v>
      </c>
      <c r="D22" s="467"/>
      <c r="E22" s="468"/>
      <c r="F22" s="95">
        <f>F21*18%</f>
        <v>45059.185799999999</v>
      </c>
    </row>
    <row r="23" spans="1:6" ht="15.75">
      <c r="A23" s="105"/>
      <c r="B23" s="105"/>
      <c r="C23" s="478" t="s">
        <v>24</v>
      </c>
      <c r="D23" s="467"/>
      <c r="E23" s="468"/>
      <c r="F23" s="95">
        <f>SUM(F21:F22)</f>
        <v>295387.99579999998</v>
      </c>
    </row>
    <row r="24" spans="1:6" ht="15.75">
      <c r="A24" s="105"/>
      <c r="B24" s="105"/>
      <c r="C24" s="467" t="s">
        <v>26</v>
      </c>
      <c r="D24" s="467"/>
      <c r="E24" s="468"/>
      <c r="F24" s="95">
        <f>ROUND(F23*0.01,2)</f>
        <v>2953.88</v>
      </c>
    </row>
    <row r="25" spans="1:6" ht="15.75">
      <c r="A25" s="105"/>
      <c r="B25" s="105"/>
      <c r="C25" s="467" t="s">
        <v>24</v>
      </c>
      <c r="D25" s="467"/>
      <c r="E25" s="468"/>
      <c r="F25" s="95">
        <f>SUM(F23:F24)</f>
        <v>298341.87579999998</v>
      </c>
    </row>
    <row r="26" spans="1:6" ht="18.75">
      <c r="A26" s="105"/>
      <c r="B26" s="105"/>
      <c r="C26" s="467" t="s">
        <v>27</v>
      </c>
      <c r="D26" s="467"/>
      <c r="E26" s="468"/>
      <c r="F26" s="106">
        <v>298342</v>
      </c>
    </row>
    <row r="27" spans="1:6" ht="18.75">
      <c r="A27" s="107"/>
      <c r="B27" s="107"/>
      <c r="C27" s="108"/>
      <c r="D27" s="108"/>
      <c r="E27" s="108"/>
      <c r="F27" s="109"/>
    </row>
    <row r="28" spans="1:6" ht="18.75">
      <c r="A28" s="107"/>
      <c r="B28" s="107"/>
      <c r="C28" s="108"/>
      <c r="D28" s="108"/>
      <c r="E28" s="108"/>
      <c r="F28" s="109"/>
    </row>
    <row r="29" spans="1:6">
      <c r="A29" s="19"/>
    </row>
    <row r="30" spans="1:6">
      <c r="A30" s="19"/>
    </row>
    <row r="31" spans="1:6" ht="18.75">
      <c r="A31" s="19"/>
      <c r="B31" s="21" t="s">
        <v>28</v>
      </c>
      <c r="C31" s="22" t="s">
        <v>29</v>
      </c>
      <c r="F31" s="18" t="s">
        <v>30</v>
      </c>
    </row>
    <row r="32" spans="1:6" ht="18.75">
      <c r="A32" s="19"/>
      <c r="B32" s="21" t="s">
        <v>31</v>
      </c>
      <c r="C32" s="22" t="s">
        <v>32</v>
      </c>
      <c r="F32" s="18" t="s">
        <v>31</v>
      </c>
    </row>
  </sheetData>
  <mergeCells count="9">
    <mergeCell ref="C24:E24"/>
    <mergeCell ref="C25:E25"/>
    <mergeCell ref="C26:E26"/>
    <mergeCell ref="A1:F1"/>
    <mergeCell ref="A2:F2"/>
    <mergeCell ref="A3:F3"/>
    <mergeCell ref="C21:E21"/>
    <mergeCell ref="C22:E22"/>
    <mergeCell ref="C23:E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tabColor theme="0"/>
  </sheetPr>
  <dimension ref="A1:K26"/>
  <sheetViews>
    <sheetView topLeftCell="A13" workbookViewId="0">
      <selection activeCell="B3" sqref="B3:F3"/>
    </sheetView>
  </sheetViews>
  <sheetFormatPr defaultRowHeight="15"/>
  <cols>
    <col min="1" max="1" width="6.140625" style="329" customWidth="1"/>
    <col min="2" max="2" width="51.28515625" style="329" customWidth="1"/>
    <col min="3" max="3" width="12.7109375" style="329" bestFit="1" customWidth="1"/>
    <col min="4" max="4" width="5.28515625" style="329" customWidth="1"/>
    <col min="5" max="5" width="12.5703125" style="329" bestFit="1" customWidth="1"/>
    <col min="6" max="6" width="12.42578125" style="329" customWidth="1"/>
    <col min="7" max="16384" width="9.140625" style="329"/>
  </cols>
  <sheetData>
    <row r="1" spans="1:11" ht="22.5">
      <c r="A1" s="346"/>
      <c r="B1" s="482" t="s">
        <v>0</v>
      </c>
      <c r="C1" s="482"/>
      <c r="D1" s="482"/>
      <c r="E1" s="482"/>
      <c r="F1" s="482"/>
    </row>
    <row r="2" spans="1:11" ht="22.5">
      <c r="A2" s="346"/>
      <c r="B2" s="483" t="s">
        <v>75</v>
      </c>
      <c r="C2" s="483"/>
      <c r="D2" s="483"/>
      <c r="E2" s="483"/>
      <c r="F2" s="483"/>
    </row>
    <row r="3" spans="1:11" ht="30.75" customHeight="1">
      <c r="A3" s="346"/>
      <c r="B3" s="484" t="s">
        <v>391</v>
      </c>
      <c r="C3" s="484"/>
      <c r="D3" s="484"/>
      <c r="E3" s="484"/>
      <c r="F3" s="484"/>
    </row>
    <row r="4" spans="1:11" ht="32.25" customHeight="1">
      <c r="A4" s="162" t="s">
        <v>35</v>
      </c>
      <c r="B4" s="162" t="s">
        <v>392</v>
      </c>
      <c r="C4" s="162" t="s">
        <v>37</v>
      </c>
      <c r="D4" s="162" t="s">
        <v>5</v>
      </c>
      <c r="E4" s="162" t="s">
        <v>38</v>
      </c>
      <c r="F4" s="162" t="s">
        <v>39</v>
      </c>
      <c r="K4" s="329">
        <f>150*3.28</f>
        <v>491.99999999999994</v>
      </c>
    </row>
    <row r="5" spans="1:11" ht="25.5">
      <c r="A5" s="333" t="s">
        <v>393</v>
      </c>
      <c r="B5" s="333" t="s">
        <v>394</v>
      </c>
      <c r="C5" s="347">
        <f>[20]Sheet1!G7</f>
        <v>2.3600490890210515</v>
      </c>
      <c r="D5" s="162" t="s">
        <v>158</v>
      </c>
      <c r="E5" s="348">
        <v>1993.04</v>
      </c>
      <c r="F5" s="348">
        <f>ROUND(C5*E5,2)</f>
        <v>4703.67</v>
      </c>
    </row>
    <row r="6" spans="1:11" ht="100.5" customHeight="1">
      <c r="A6" s="277" t="s">
        <v>395</v>
      </c>
      <c r="B6" s="349" t="s">
        <v>396</v>
      </c>
      <c r="C6" s="348">
        <f>[20]Sheet1!G11</f>
        <v>134.52276975361087</v>
      </c>
      <c r="D6" s="136" t="s">
        <v>94</v>
      </c>
      <c r="E6" s="136">
        <v>167.33</v>
      </c>
      <c r="F6" s="348">
        <f t="shared" ref="F6:F21" si="0">ROUND(C6*E6,2)</f>
        <v>22509.7</v>
      </c>
    </row>
    <row r="7" spans="1:11" ht="89.25">
      <c r="A7" s="333" t="s">
        <v>375</v>
      </c>
      <c r="B7" s="334" t="s">
        <v>397</v>
      </c>
      <c r="C7" s="162">
        <f>[20]Sheet1!G15</f>
        <v>10.629999999999999</v>
      </c>
      <c r="D7" s="162" t="s">
        <v>94</v>
      </c>
      <c r="E7" s="162">
        <v>347.85</v>
      </c>
      <c r="F7" s="348">
        <f t="shared" si="0"/>
        <v>3697.65</v>
      </c>
    </row>
    <row r="8" spans="1:11" ht="63.75">
      <c r="A8" s="333" t="s">
        <v>398</v>
      </c>
      <c r="B8" s="285" t="s">
        <v>329</v>
      </c>
      <c r="C8" s="162">
        <f>[20]Sheet1!G19</f>
        <v>17.71</v>
      </c>
      <c r="D8" s="162" t="s">
        <v>94</v>
      </c>
      <c r="E8" s="347">
        <v>1756.4</v>
      </c>
      <c r="F8" s="348">
        <f t="shared" si="0"/>
        <v>31105.84</v>
      </c>
    </row>
    <row r="9" spans="1:11" ht="38.25">
      <c r="A9" s="333" t="s">
        <v>399</v>
      </c>
      <c r="B9" s="350" t="s">
        <v>400</v>
      </c>
      <c r="C9" s="162">
        <f>[20]Sheet1!G24</f>
        <v>14.17</v>
      </c>
      <c r="D9" s="162" t="s">
        <v>94</v>
      </c>
      <c r="E9" s="347">
        <v>4598.2299999999996</v>
      </c>
      <c r="F9" s="348">
        <f t="shared" si="0"/>
        <v>65156.92</v>
      </c>
    </row>
    <row r="10" spans="1:11" ht="51">
      <c r="A10" s="351" t="s">
        <v>401</v>
      </c>
      <c r="B10" s="350" t="s">
        <v>402</v>
      </c>
      <c r="C10" s="352">
        <f>[20]Sheet1!G28</f>
        <v>31.860662701784197</v>
      </c>
      <c r="D10" s="162" t="s">
        <v>94</v>
      </c>
      <c r="E10" s="353">
        <v>2987.47</v>
      </c>
      <c r="F10" s="348">
        <f t="shared" si="0"/>
        <v>95182.77</v>
      </c>
    </row>
    <row r="11" spans="1:11" ht="63.75">
      <c r="A11" s="354" t="s">
        <v>403</v>
      </c>
      <c r="B11" s="355" t="s">
        <v>404</v>
      </c>
      <c r="C11" s="356">
        <f>[20]Sheet1!G32</f>
        <v>271.06567534076817</v>
      </c>
      <c r="D11" s="162" t="s">
        <v>91</v>
      </c>
      <c r="E11" s="347">
        <v>313.3</v>
      </c>
      <c r="F11" s="348">
        <f t="shared" si="0"/>
        <v>84924.88</v>
      </c>
    </row>
    <row r="12" spans="1:11" ht="102">
      <c r="A12" s="281" t="s">
        <v>405</v>
      </c>
      <c r="B12" s="355" t="s">
        <v>406</v>
      </c>
      <c r="C12" s="347">
        <v>14.2</v>
      </c>
      <c r="D12" s="162" t="s">
        <v>94</v>
      </c>
      <c r="E12" s="23">
        <v>6308.87</v>
      </c>
      <c r="F12" s="348">
        <f t="shared" si="0"/>
        <v>89585.95</v>
      </c>
    </row>
    <row r="13" spans="1:11" ht="63.75">
      <c r="A13" s="281" t="s">
        <v>407</v>
      </c>
      <c r="B13" s="355" t="s">
        <v>408</v>
      </c>
      <c r="C13" s="347">
        <f>[20]Sheet1!G40</f>
        <v>1.25</v>
      </c>
      <c r="D13" s="162" t="s">
        <v>337</v>
      </c>
      <c r="E13" s="162">
        <v>82096.539999999994</v>
      </c>
      <c r="F13" s="348">
        <f t="shared" si="0"/>
        <v>102620.68</v>
      </c>
    </row>
    <row r="14" spans="1:11" ht="38.25">
      <c r="A14" s="333" t="s">
        <v>409</v>
      </c>
      <c r="B14" s="164" t="s">
        <v>410</v>
      </c>
      <c r="C14" s="166">
        <f>[20]Sheet1!G45</f>
        <v>100.69000000000001</v>
      </c>
      <c r="D14" s="357" t="s">
        <v>172</v>
      </c>
      <c r="E14" s="166">
        <v>194.5</v>
      </c>
      <c r="F14" s="348">
        <f t="shared" si="0"/>
        <v>19584.21</v>
      </c>
    </row>
    <row r="15" spans="1:11">
      <c r="A15" s="281">
        <v>11</v>
      </c>
      <c r="B15" s="282" t="s">
        <v>144</v>
      </c>
      <c r="C15" s="162"/>
      <c r="D15" s="162"/>
      <c r="E15" s="162"/>
      <c r="F15" s="348"/>
    </row>
    <row r="16" spans="1:11" ht="15.75">
      <c r="A16" s="338" t="s">
        <v>13</v>
      </c>
      <c r="B16" s="285" t="s">
        <v>382</v>
      </c>
      <c r="C16" s="162">
        <f>[20]Sheet2!F11</f>
        <v>33.31</v>
      </c>
      <c r="D16" s="353" t="s">
        <v>411</v>
      </c>
      <c r="E16" s="29">
        <v>819.06</v>
      </c>
      <c r="F16" s="348">
        <f t="shared" si="0"/>
        <v>27282.89</v>
      </c>
    </row>
    <row r="17" spans="1:6" ht="15.75">
      <c r="A17" s="281" t="s">
        <v>16</v>
      </c>
      <c r="B17" s="285" t="s">
        <v>412</v>
      </c>
      <c r="C17" s="162">
        <f>[20]Sheet2!E11</f>
        <v>10.629999999999999</v>
      </c>
      <c r="D17" s="353" t="s">
        <v>411</v>
      </c>
      <c r="E17" s="134">
        <v>417.3</v>
      </c>
      <c r="F17" s="348">
        <f t="shared" si="0"/>
        <v>4435.8999999999996</v>
      </c>
    </row>
    <row r="18" spans="1:6" ht="15.75">
      <c r="A18" s="281" t="s">
        <v>18</v>
      </c>
      <c r="B18" s="285" t="s">
        <v>413</v>
      </c>
      <c r="C18" s="358">
        <v>49.6</v>
      </c>
      <c r="D18" s="353" t="s">
        <v>411</v>
      </c>
      <c r="E18" s="134">
        <v>648.59</v>
      </c>
      <c r="F18" s="348">
        <f t="shared" si="0"/>
        <v>32170.06</v>
      </c>
    </row>
    <row r="19" spans="1:6" ht="15.75">
      <c r="A19" s="281" t="s">
        <v>20</v>
      </c>
      <c r="B19" s="285" t="s">
        <v>386</v>
      </c>
      <c r="C19" s="162">
        <f>[20]Sheet2!G11</f>
        <v>24.939999999999998</v>
      </c>
      <c r="D19" s="353" t="s">
        <v>411</v>
      </c>
      <c r="E19" s="134">
        <v>417.3</v>
      </c>
      <c r="F19" s="348">
        <f t="shared" si="0"/>
        <v>10407.459999999999</v>
      </c>
    </row>
    <row r="20" spans="1:6" ht="15.75">
      <c r="A20" s="281" t="s">
        <v>22</v>
      </c>
      <c r="B20" s="285" t="s">
        <v>23</v>
      </c>
      <c r="C20" s="347">
        <f>[20]Sheet2!I11</f>
        <v>134.52276975361087</v>
      </c>
      <c r="D20" s="353" t="s">
        <v>411</v>
      </c>
      <c r="E20" s="29">
        <v>117.54</v>
      </c>
      <c r="F20" s="348">
        <f t="shared" si="0"/>
        <v>15811.81</v>
      </c>
    </row>
    <row r="21" spans="1:6">
      <c r="A21" s="281">
        <v>12</v>
      </c>
      <c r="B21" s="285" t="s">
        <v>414</v>
      </c>
      <c r="C21" s="347">
        <v>3</v>
      </c>
      <c r="D21" s="353" t="s">
        <v>415</v>
      </c>
      <c r="E21" s="134">
        <v>2000</v>
      </c>
      <c r="F21" s="348">
        <f t="shared" si="0"/>
        <v>6000</v>
      </c>
    </row>
    <row r="22" spans="1:6">
      <c r="A22" s="265"/>
      <c r="B22" s="265"/>
      <c r="C22" s="265"/>
      <c r="D22" s="265"/>
      <c r="E22" s="266" t="s">
        <v>24</v>
      </c>
      <c r="F22" s="147">
        <f>SUM(F5:F21)</f>
        <v>615180.39000000013</v>
      </c>
    </row>
    <row r="23" spans="1:6">
      <c r="A23" s="485" t="s">
        <v>416</v>
      </c>
      <c r="B23" s="486"/>
      <c r="C23" s="486"/>
      <c r="D23" s="486"/>
      <c r="E23" s="487"/>
      <c r="F23" s="147">
        <f>F22*18%</f>
        <v>110732.47020000003</v>
      </c>
    </row>
    <row r="24" spans="1:6">
      <c r="A24" s="479" t="s">
        <v>346</v>
      </c>
      <c r="B24" s="480"/>
      <c r="C24" s="480"/>
      <c r="D24" s="480"/>
      <c r="E24" s="481"/>
      <c r="F24" s="147">
        <f>SUM(F22:F23)</f>
        <v>725912.86020000011</v>
      </c>
    </row>
    <row r="25" spans="1:6">
      <c r="A25" s="485" t="s">
        <v>345</v>
      </c>
      <c r="B25" s="486"/>
      <c r="C25" s="486"/>
      <c r="D25" s="486"/>
      <c r="E25" s="487"/>
      <c r="F25" s="268">
        <f>F24*1%</f>
        <v>7259.1286020000016</v>
      </c>
    </row>
    <row r="26" spans="1:6">
      <c r="A26" s="479" t="s">
        <v>346</v>
      </c>
      <c r="B26" s="480"/>
      <c r="C26" s="480"/>
      <c r="D26" s="480"/>
      <c r="E26" s="481"/>
      <c r="F26" s="359">
        <f>SUM(F24:F25)</f>
        <v>733171.98880200007</v>
      </c>
    </row>
  </sheetData>
  <mergeCells count="7">
    <mergeCell ref="A26:E26"/>
    <mergeCell ref="B1:F1"/>
    <mergeCell ref="B2:F2"/>
    <mergeCell ref="B3:F3"/>
    <mergeCell ref="A23:E23"/>
    <mergeCell ref="A24:E24"/>
    <mergeCell ref="A25:E25"/>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RowHeight="15"/>
  <cols>
    <col min="2" max="2" width="49.5703125" customWidth="1"/>
    <col min="6" max="6" width="14.140625" style="81" customWidth="1"/>
  </cols>
  <sheetData>
    <row r="1" spans="1:6" ht="26.25">
      <c r="A1" s="455" t="s">
        <v>0</v>
      </c>
      <c r="B1" s="456"/>
      <c r="C1" s="456"/>
      <c r="D1" s="456"/>
      <c r="E1" s="456"/>
      <c r="F1" s="457"/>
    </row>
    <row r="2" spans="1:6" ht="18">
      <c r="A2" s="427" t="s">
        <v>1</v>
      </c>
      <c r="B2" s="428"/>
      <c r="C2" s="428"/>
      <c r="D2" s="428"/>
      <c r="E2" s="428"/>
      <c r="F2" s="429"/>
    </row>
    <row r="3" spans="1:6" ht="30.95" customHeight="1">
      <c r="A3" s="440" t="str">
        <f>[21]ESTIMATE!A2</f>
        <v>Name of Work :-LAYING OF PAVER BLOK AT JAI PRAKASH NAGAR, SARNA ASTHAL, MAHILA VIKAS SAMITEE UNDER WARD NO.29</v>
      </c>
      <c r="B3" s="441"/>
      <c r="C3" s="441"/>
      <c r="D3" s="441"/>
      <c r="E3" s="441"/>
      <c r="F3" s="442"/>
    </row>
    <row r="4" spans="1:6" ht="30">
      <c r="A4" s="1" t="s">
        <v>2</v>
      </c>
      <c r="B4" s="2" t="s">
        <v>3</v>
      </c>
      <c r="C4" s="2" t="s">
        <v>4</v>
      </c>
      <c r="D4" s="2" t="s">
        <v>5</v>
      </c>
      <c r="E4" s="1" t="s">
        <v>6</v>
      </c>
      <c r="F4" s="3" t="s">
        <v>7</v>
      </c>
    </row>
    <row r="5" spans="1:6" ht="33.6" customHeight="1">
      <c r="A5" s="1">
        <f>[21]ESTIMATE!A4</f>
        <v>1</v>
      </c>
      <c r="B5" s="77" t="str">
        <f>[21]ESTIMATE!B4</f>
        <v>Labour for clearning the work site before and after work etc.</v>
      </c>
      <c r="C5" s="5">
        <f>[21]ESTIMATE!G4</f>
        <v>8</v>
      </c>
      <c r="D5" s="6" t="s">
        <v>15</v>
      </c>
      <c r="E5" s="5">
        <f>[21]ESTIMATE!I4</f>
        <v>326.85000000000002</v>
      </c>
      <c r="F5" s="7">
        <f t="shared" ref="F5:F8" si="0">ROUND(C5*E5,2)</f>
        <v>2614.8000000000002</v>
      </c>
    </row>
    <row r="6" spans="1:6" ht="142.5">
      <c r="A6" s="1" t="str">
        <f>[21]ESTIMATE!A5</f>
        <v>2       5.1.1.+ 5.1.2</v>
      </c>
      <c r="B6" s="4" t="str">
        <f>[21]ESTIMATE!B5</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v>
      </c>
      <c r="C6" s="5">
        <f>[21]ESTIMATE!G11</f>
        <v>98.74</v>
      </c>
      <c r="D6" s="6" t="s">
        <v>15</v>
      </c>
      <c r="E6" s="5">
        <f>[21]ESTIMATE!I11</f>
        <v>139.58000000000001</v>
      </c>
      <c r="F6" s="7">
        <f t="shared" si="0"/>
        <v>13782.13</v>
      </c>
    </row>
    <row r="7" spans="1:6" ht="213.75">
      <c r="A7" s="1" t="str">
        <f>[21]ESTIMATE!A12</f>
        <v>3.       16.91.2   DSR</v>
      </c>
      <c r="B7" s="4" t="str">
        <f>[22]ESTIMATE!B13</f>
        <v>Providing and laying factory made chamfered edge 80mm thick cement concrete paver block  of M-30 grade with approved colour design and pattern using in footpath ,parks ,lawns,drive ways or lighttraffic parking etc,of required strength thickness and size shape made by table vibratory method using PU mould ,laid in required coloure and pattern over 50mm thick compacted bed of sand ,compacting and proper embedding laying of interlocking  paver blocks into the sand bedding layer through vibratory compaction by using plate vibrator,filling the joints with sand cutting of paver blocks as per required size and pattern ,finishing and sweeing extra sand complete all as per direction of  E/I</v>
      </c>
      <c r="C7" s="5">
        <f>[21]ESTIMATE!G18</f>
        <v>486.06</v>
      </c>
      <c r="D7" s="6" t="s">
        <v>15</v>
      </c>
      <c r="E7" s="5">
        <f>[22]ESTIMATE!I16</f>
        <v>877.72</v>
      </c>
      <c r="F7" s="7">
        <f t="shared" si="0"/>
        <v>426624.58</v>
      </c>
    </row>
    <row r="8" spans="1:6" ht="71.25">
      <c r="A8" s="1" t="str">
        <f>[21]ESTIMATE!A19</f>
        <v>4           5.3.1.1</v>
      </c>
      <c r="B8" s="4" t="str">
        <f>[21]ESTIMATE!B19</f>
        <v xml:space="preserve">Providing and laying in position concrete of specified grade excluding the cost of centering and shuttering- All work upto plinth level :  1:1½:3 (1 cemet : 1½ coarse sand (zone-iii) : 3 graded stone aggregate 20mm nominal size )  </v>
      </c>
      <c r="C8" s="5">
        <f>[21]ESTIMATE!G25</f>
        <v>1.95</v>
      </c>
      <c r="D8" s="6" t="s">
        <v>15</v>
      </c>
      <c r="E8" s="5">
        <f>[22]ESTIMATE!I20</f>
        <v>4961.7299999999996</v>
      </c>
      <c r="F8" s="7">
        <f t="shared" si="0"/>
        <v>9675.3700000000008</v>
      </c>
    </row>
    <row r="9" spans="1:6">
      <c r="A9" s="9">
        <v>5</v>
      </c>
      <c r="B9" s="78" t="s">
        <v>12</v>
      </c>
      <c r="C9" s="6"/>
      <c r="D9" s="11"/>
      <c r="E9" s="12"/>
      <c r="F9" s="7"/>
    </row>
    <row r="10" spans="1:6">
      <c r="A10" s="9" t="s">
        <v>13</v>
      </c>
      <c r="B10" s="35" t="s">
        <v>72</v>
      </c>
      <c r="C10" s="6">
        <f>[21]ESTIMATE!G27</f>
        <v>0.84</v>
      </c>
      <c r="D10" s="11" t="s">
        <v>15</v>
      </c>
      <c r="E10" s="79">
        <v>819.06</v>
      </c>
      <c r="F10" s="7">
        <f t="shared" ref="F10:F12" si="1">ROUND(C10*E10,2)</f>
        <v>688.01</v>
      </c>
    </row>
    <row r="11" spans="1:6">
      <c r="A11" s="9" t="s">
        <v>16</v>
      </c>
      <c r="B11" s="36" t="s">
        <v>73</v>
      </c>
      <c r="C11" s="6">
        <f>[21]ESTIMATE!G28</f>
        <v>1.68</v>
      </c>
      <c r="D11" s="11" t="s">
        <v>15</v>
      </c>
      <c r="E11" s="79">
        <v>417.3</v>
      </c>
      <c r="F11" s="7">
        <f t="shared" si="1"/>
        <v>701.06</v>
      </c>
    </row>
    <row r="12" spans="1:6">
      <c r="A12" s="9" t="s">
        <v>18</v>
      </c>
      <c r="B12" s="4" t="s">
        <v>74</v>
      </c>
      <c r="C12" s="6">
        <f>[21]ESTIMATE!G29</f>
        <v>98.74</v>
      </c>
      <c r="D12" s="11" t="s">
        <v>15</v>
      </c>
      <c r="E12" s="79">
        <v>117.54</v>
      </c>
      <c r="F12" s="7">
        <f t="shared" si="1"/>
        <v>11605.9</v>
      </c>
    </row>
    <row r="13" spans="1:6">
      <c r="A13" s="15"/>
      <c r="B13" s="15"/>
      <c r="C13" s="425" t="s">
        <v>24</v>
      </c>
      <c r="D13" s="425"/>
      <c r="E13" s="426"/>
      <c r="F13" s="7">
        <f>SUM(F5:F12)</f>
        <v>465691.85000000003</v>
      </c>
    </row>
    <row r="14" spans="1:6">
      <c r="A14" s="15"/>
      <c r="B14" s="15"/>
      <c r="C14" s="436" t="s">
        <v>25</v>
      </c>
      <c r="D14" s="425"/>
      <c r="E14" s="426"/>
      <c r="F14" s="7">
        <f>F13*18%</f>
        <v>83824.53300000001</v>
      </c>
    </row>
    <row r="15" spans="1:6">
      <c r="A15" s="15"/>
      <c r="B15" s="15"/>
      <c r="C15" s="436" t="s">
        <v>24</v>
      </c>
      <c r="D15" s="425"/>
      <c r="E15" s="426"/>
      <c r="F15" s="7">
        <f>SUM(F13:F14)</f>
        <v>549516.38300000003</v>
      </c>
    </row>
    <row r="16" spans="1:6">
      <c r="A16" s="15"/>
      <c r="B16" s="15"/>
      <c r="C16" s="425" t="s">
        <v>71</v>
      </c>
      <c r="D16" s="425"/>
      <c r="E16" s="426"/>
      <c r="F16" s="7">
        <f>ROUND(F15*0.01,2)</f>
        <v>5495.16</v>
      </c>
    </row>
    <row r="17" spans="1:6">
      <c r="A17" s="15"/>
      <c r="B17" s="15"/>
      <c r="C17" s="425" t="s">
        <v>24</v>
      </c>
      <c r="D17" s="425"/>
      <c r="E17" s="426"/>
      <c r="F17" s="7">
        <f>SUM(F15:F16)</f>
        <v>555011.54300000006</v>
      </c>
    </row>
    <row r="18" spans="1:6">
      <c r="A18" s="15"/>
      <c r="B18" s="15"/>
      <c r="C18" s="425" t="s">
        <v>27</v>
      </c>
      <c r="D18" s="425"/>
      <c r="E18" s="426"/>
      <c r="F18" s="7">
        <v>555012</v>
      </c>
    </row>
    <row r="19" spans="1:6" ht="18">
      <c r="A19" s="40"/>
      <c r="B19" s="40"/>
      <c r="C19" s="41"/>
      <c r="D19" s="41"/>
      <c r="E19" s="41"/>
      <c r="F19" s="42"/>
    </row>
    <row r="20" spans="1:6" ht="18">
      <c r="A20" s="40"/>
      <c r="B20" s="40"/>
      <c r="C20" s="41"/>
      <c r="D20" s="41"/>
      <c r="E20" s="41"/>
      <c r="F20" s="42"/>
    </row>
    <row r="21" spans="1:6">
      <c r="A21" s="43"/>
      <c r="B21" s="44"/>
      <c r="C21" s="44"/>
      <c r="D21" s="44"/>
      <c r="E21" s="44"/>
      <c r="F21" s="80"/>
    </row>
    <row r="22" spans="1:6">
      <c r="A22" s="43"/>
      <c r="B22" s="44"/>
      <c r="C22" s="44"/>
      <c r="D22" s="44"/>
      <c r="E22" s="44"/>
      <c r="F22" s="80"/>
    </row>
    <row r="23" spans="1:6" ht="18">
      <c r="A23" s="43"/>
      <c r="B23" s="45" t="s">
        <v>28</v>
      </c>
      <c r="C23" s="46" t="s">
        <v>29</v>
      </c>
      <c r="D23" s="44"/>
      <c r="E23" s="44"/>
      <c r="F23" s="42" t="s">
        <v>30</v>
      </c>
    </row>
    <row r="24" spans="1:6" ht="18">
      <c r="A24" s="43"/>
      <c r="B24" s="45" t="s">
        <v>31</v>
      </c>
      <c r="C24" s="46" t="s">
        <v>32</v>
      </c>
      <c r="D24" s="44"/>
      <c r="E24" s="44"/>
      <c r="F24" s="42" t="s">
        <v>31</v>
      </c>
    </row>
    <row r="25" spans="1:6">
      <c r="A25" s="44"/>
      <c r="B25" s="44"/>
      <c r="C25" s="44"/>
      <c r="D25" s="44"/>
      <c r="E25" s="44"/>
      <c r="F25" s="37"/>
    </row>
    <row r="26" spans="1:6">
      <c r="A26" s="44"/>
      <c r="B26" s="44"/>
      <c r="C26" s="44"/>
      <c r="D26" s="44"/>
      <c r="E26" s="44"/>
      <c r="F26" s="37"/>
    </row>
  </sheetData>
  <mergeCells count="9">
    <mergeCell ref="C16:E16"/>
    <mergeCell ref="C17:E17"/>
    <mergeCell ref="C18:E18"/>
    <mergeCell ref="A1:F1"/>
    <mergeCell ref="A2:F2"/>
    <mergeCell ref="A3:F3"/>
    <mergeCell ref="C13:E13"/>
    <mergeCell ref="C14:E14"/>
    <mergeCell ref="C15:E15"/>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F34"/>
  <sheetViews>
    <sheetView workbookViewId="0">
      <selection activeCell="A3" sqref="A3:F3"/>
    </sheetView>
  </sheetViews>
  <sheetFormatPr defaultRowHeight="15"/>
  <cols>
    <col min="2" max="2" width="51.42578125" customWidth="1"/>
    <col min="5" max="5" width="9" bestFit="1" customWidth="1"/>
    <col min="6" max="6" width="16.28515625" style="20" bestFit="1" customWidth="1"/>
  </cols>
  <sheetData>
    <row r="1" spans="1:6" ht="25.5">
      <c r="A1" s="469" t="s">
        <v>0</v>
      </c>
      <c r="B1" s="470"/>
      <c r="C1" s="470"/>
      <c r="D1" s="470"/>
      <c r="E1" s="470"/>
      <c r="F1" s="471"/>
    </row>
    <row r="2" spans="1:6" ht="18" customHeight="1">
      <c r="A2" s="488" t="s">
        <v>1</v>
      </c>
      <c r="B2" s="489"/>
      <c r="C2" s="489"/>
      <c r="D2" s="489"/>
      <c r="E2" s="489"/>
      <c r="F2" s="490"/>
    </row>
    <row r="3" spans="1:6" ht="32.450000000000003" customHeight="1">
      <c r="A3" s="475" t="str">
        <f>[23]ESTIMATE!A2</f>
        <v>Name of Work :-LAYING OF PAVER BLOK ROAD AND CONSTRUCTION  OF RCC DRAIN AT KURBAN GALI LANE, FROM LAKHAN VISHWAKARMA HOUSE TO MANIK VISHWAKARMA HOUSE UNDER WARD NO-29</v>
      </c>
      <c r="B3" s="476"/>
      <c r="C3" s="476"/>
      <c r="D3" s="476"/>
      <c r="E3" s="476"/>
      <c r="F3" s="477"/>
    </row>
    <row r="4" spans="1:6" ht="31.5">
      <c r="A4" s="89" t="s">
        <v>2</v>
      </c>
      <c r="B4" s="90" t="s">
        <v>3</v>
      </c>
      <c r="C4" s="90" t="s">
        <v>4</v>
      </c>
      <c r="D4" s="90" t="s">
        <v>5</v>
      </c>
      <c r="E4" s="89" t="s">
        <v>6</v>
      </c>
      <c r="F4" s="91" t="s">
        <v>7</v>
      </c>
    </row>
    <row r="5" spans="1:6" ht="22.5" customHeight="1">
      <c r="A5" s="89">
        <f>[23]ESTIMATE!A4</f>
        <v>1</v>
      </c>
      <c r="B5" s="92" t="str">
        <f>[23]ESTIMATE!B4</f>
        <v>Labour for site clearence before and after the work etc.</v>
      </c>
      <c r="C5" s="93">
        <f>[23]ESTIMATE!G4</f>
        <v>7</v>
      </c>
      <c r="D5" s="94" t="s">
        <v>15</v>
      </c>
      <c r="E5" s="93">
        <f>[23]ESTIMATE!I4</f>
        <v>326.85000000000002</v>
      </c>
      <c r="F5" s="95">
        <f t="shared" ref="F5:F16" si="0">ROUND(C5*E5,2)</f>
        <v>2287.9499999999998</v>
      </c>
    </row>
    <row r="6" spans="1:6" ht="47.25">
      <c r="A6" s="89" t="str">
        <f>[23]ESTIMATE!A5</f>
        <v xml:space="preserve">    2         5.10.2</v>
      </c>
      <c r="B6" s="96" t="str">
        <f>[23]ESTIMATE!B5</f>
        <v>Dismantling plain cement or lime concrete work including ………do…….complete as per specification and  direction of E/I.</v>
      </c>
      <c r="C6" s="93">
        <f>[23]ESTIMATE!G7</f>
        <v>3.55</v>
      </c>
      <c r="D6" s="94" t="s">
        <v>15</v>
      </c>
      <c r="E6" s="93">
        <f>[23]ESTIMATE!I7</f>
        <v>955.89</v>
      </c>
      <c r="F6" s="95">
        <f t="shared" si="0"/>
        <v>3393.41</v>
      </c>
    </row>
    <row r="7" spans="1:6" ht="126">
      <c r="A7" s="89" t="str">
        <f>[23]ESTIMATE!A8</f>
        <v>3       5.1.1.</v>
      </c>
      <c r="B7" s="96" t="s">
        <v>9</v>
      </c>
      <c r="C7" s="93">
        <f>[23]ESTIMATE!G12</f>
        <v>31.9</v>
      </c>
      <c r="D7" s="94" t="s">
        <v>15</v>
      </c>
      <c r="E7" s="93">
        <f>[23]ESTIMATE!I12</f>
        <v>151.82</v>
      </c>
      <c r="F7" s="95">
        <f t="shared" si="0"/>
        <v>4843.0600000000004</v>
      </c>
    </row>
    <row r="8" spans="1:6" ht="220.5">
      <c r="A8" s="89" t="str">
        <f>[23]ESTIMATE!A13</f>
        <v>4.       16.91.2   DSR</v>
      </c>
      <c r="B8" s="96" t="str">
        <f>[23]ESTIMATE!B13</f>
        <v>Providing and laying factory made chamfered edge 80mm thick cement concrete paver block  of M-30 grade with approved colour design and pattern using in footpath ,parks ,lawns,drive ways or lighttraffic parking etc,of required strength thickness and size shape made by table vibratory method using PU mould ,laid in required coloure and pattern over 50mm thick compacted bed of sand ,compacting and proper embedding laying of interlocking  paver blocks into the sand bedding layer through vibratory compaction by using plate vibrator,filling the joints with sand cutting of paver blocks as per required size and pattern ,finishing and sweeing extra sand complete all as per direction of  E/I</v>
      </c>
      <c r="C8" s="93">
        <f>[23]ESTIMATE!G16</f>
        <v>31.86</v>
      </c>
      <c r="D8" s="94" t="s">
        <v>15</v>
      </c>
      <c r="E8" s="93">
        <f>[23]ESTIMATE!I16</f>
        <v>877.72</v>
      </c>
      <c r="F8" s="95">
        <f t="shared" si="0"/>
        <v>27964.16</v>
      </c>
    </row>
    <row r="9" spans="1:6" ht="78.75">
      <c r="A9" s="89" t="str">
        <f>[23]ESTIMATE!A17</f>
        <v>5.     5.3.1.1</v>
      </c>
      <c r="B9" s="96" t="str">
        <f>[23]ESTIMATE!B17</f>
        <v xml:space="preserve">Providing and laying in position cement concrete of specified grade excluding the cost of centering and shuttering- All work upto plinth level : 1:1½:3 (1 cemet : 1½ coarse sand (zone-iii) : 3 graded stone aggregate 20mm nominal size )  </v>
      </c>
      <c r="C9" s="93">
        <f>[23]ESTIMATE!G20</f>
        <v>1.39</v>
      </c>
      <c r="D9" s="94" t="s">
        <v>15</v>
      </c>
      <c r="E9" s="93">
        <f>[23]ESTIMATE!I20</f>
        <v>4961.7299999999996</v>
      </c>
      <c r="F9" s="95">
        <f t="shared" si="0"/>
        <v>6896.8</v>
      </c>
    </row>
    <row r="10" spans="1:6" ht="126">
      <c r="A10" s="89" t="str">
        <f>[23]ESTIMATE!A21</f>
        <v>6.           M-004</v>
      </c>
      <c r="B10" s="96" t="str">
        <f>[23]ESTIMATE!B21</f>
        <v xml:space="preserve">Providing stone cruster dust finer than 3mm with not more than 10% passing 0.075 sieve at Quarry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v>
      </c>
      <c r="C10" s="93">
        <f>[23]ESTIMATE!G24</f>
        <v>2.66</v>
      </c>
      <c r="D10" s="94" t="s">
        <v>15</v>
      </c>
      <c r="E10" s="93">
        <f>[23]ESTIMATE!I24</f>
        <v>481.67</v>
      </c>
      <c r="F10" s="95">
        <f t="shared" si="0"/>
        <v>1281.24</v>
      </c>
    </row>
    <row r="11" spans="1:6" ht="78.75">
      <c r="A11" s="89" t="str">
        <f>[23]ESTIMATE!A25</f>
        <v>7.       5.6.8 (C.I.W.)</v>
      </c>
      <c r="B11" s="96" t="s">
        <v>48</v>
      </c>
      <c r="C11" s="93">
        <f>[23]ESTIMATE!G28</f>
        <v>4.47</v>
      </c>
      <c r="D11" s="94" t="s">
        <v>15</v>
      </c>
      <c r="E11" s="93">
        <f>[23]ESTIMATE!I28</f>
        <v>1756.4</v>
      </c>
      <c r="F11" s="95">
        <f t="shared" si="0"/>
        <v>7851.11</v>
      </c>
    </row>
    <row r="12" spans="1:6" ht="65.099999999999994" customHeight="1">
      <c r="A12" s="89" t="str">
        <f>[23]ESTIMATE!A29</f>
        <v>8.                                    5.3.10</v>
      </c>
      <c r="B12" s="97" t="str">
        <f>[23]ESTIMATE!B29</f>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
      <c r="C12" s="93">
        <f>[23]ESTIMATE!G33</f>
        <v>7.72</v>
      </c>
      <c r="D12" s="94" t="s">
        <v>15</v>
      </c>
      <c r="E12" s="93">
        <f>[23]ESTIMATE!I33</f>
        <v>6082.45</v>
      </c>
      <c r="F12" s="95">
        <f t="shared" si="0"/>
        <v>46956.51</v>
      </c>
    </row>
    <row r="13" spans="1:6" ht="65.099999999999994" customHeight="1">
      <c r="A13" s="89" t="str">
        <f>[23]ESTIMATE!A34</f>
        <v>9                  5.3.11</v>
      </c>
      <c r="B13" s="97" t="str">
        <f>[23]ESTIMATE!B34</f>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
      <c r="C13" s="93">
        <f>[23]ESTIMATE!G37</f>
        <v>5.32</v>
      </c>
      <c r="D13" s="94" t="s">
        <v>15</v>
      </c>
      <c r="E13" s="93">
        <f>[23]ESTIMATE!I37</f>
        <v>6308.87</v>
      </c>
      <c r="F13" s="95">
        <f t="shared" si="0"/>
        <v>33563.19</v>
      </c>
    </row>
    <row r="14" spans="1:6" ht="65.099999999999994" customHeight="1">
      <c r="A14" s="89">
        <f>[23]ESTIMATE!A38</f>
        <v>10</v>
      </c>
      <c r="B14" s="97" t="str">
        <f>[23]ESTIMATE!B38</f>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
      <c r="C14" s="93">
        <f>[23]ESTIMATE!G42</f>
        <v>0.49</v>
      </c>
      <c r="D14" s="94" t="str">
        <f>[23]ESTIMATE!H42</f>
        <v>MT</v>
      </c>
      <c r="E14" s="93">
        <f>[23]ESTIMATE!I42</f>
        <v>83314.02</v>
      </c>
      <c r="F14" s="95">
        <f t="shared" si="0"/>
        <v>40823.870000000003</v>
      </c>
    </row>
    <row r="15" spans="1:6" ht="15.75">
      <c r="A15" s="89"/>
      <c r="B15" s="97"/>
      <c r="C15" s="93">
        <f>[23]ESTIMATE!G46</f>
        <v>0.6</v>
      </c>
      <c r="D15" s="94" t="str">
        <f>[23]ESTIMATE!H46</f>
        <v>MT</v>
      </c>
      <c r="E15" s="93">
        <f>[23]ESTIMATE!I46</f>
        <v>82096.539999999994</v>
      </c>
      <c r="F15" s="95">
        <f t="shared" si="0"/>
        <v>49257.919999999998</v>
      </c>
    </row>
    <row r="16" spans="1:6" ht="63">
      <c r="A16" s="89" t="str">
        <f>[23]ESTIMATE!A47</f>
        <v>11                 5.3.17.1</v>
      </c>
      <c r="B16" s="96" t="str">
        <f>[23]ESTIMATE!B47</f>
        <v>Centering and shuttering including strutting, propping etc. and removal of from for Foundations,footings, bases of columns, etc. for mass concrete.</v>
      </c>
      <c r="C16" s="93">
        <f>[23]ESTIMATE!G52</f>
        <v>104.55</v>
      </c>
      <c r="D16" s="98" t="s">
        <v>11</v>
      </c>
      <c r="E16" s="89">
        <f>[23]ESTIMATE!I52</f>
        <v>194.5</v>
      </c>
      <c r="F16" s="91">
        <f t="shared" si="0"/>
        <v>20334.98</v>
      </c>
    </row>
    <row r="17" spans="1:6" ht="15.75">
      <c r="A17" s="89">
        <f>[23]ESTIMATE!A53</f>
        <v>12</v>
      </c>
      <c r="B17" s="99" t="s">
        <v>12</v>
      </c>
      <c r="C17" s="94"/>
      <c r="D17" s="100"/>
      <c r="E17" s="101"/>
      <c r="F17" s="95"/>
    </row>
    <row r="18" spans="1:6" ht="15.75">
      <c r="A18" s="102" t="s">
        <v>13</v>
      </c>
      <c r="B18" s="103" t="s">
        <v>76</v>
      </c>
      <c r="C18" s="94">
        <f>PRODUCT('[23]MATERIAL '!F7)</f>
        <v>5.61</v>
      </c>
      <c r="D18" s="100" t="s">
        <v>15</v>
      </c>
      <c r="E18" s="1">
        <f>[23]ESTIMATE!I54</f>
        <v>819.06</v>
      </c>
      <c r="F18" s="95">
        <f t="shared" ref="F18:F22" si="1">ROUND(C18*E18,2)</f>
        <v>4594.93</v>
      </c>
    </row>
    <row r="19" spans="1:6" ht="15.75">
      <c r="A19" s="102" t="s">
        <v>16</v>
      </c>
      <c r="B19" s="103" t="s">
        <v>77</v>
      </c>
      <c r="C19" s="94">
        <f>PRODUCT('[23]MATERIAL '!G7)</f>
        <v>2.66</v>
      </c>
      <c r="D19" s="100" t="s">
        <v>15</v>
      </c>
      <c r="E19" s="34">
        <f>[23]ESTIMATE!I55</f>
        <v>417.3</v>
      </c>
      <c r="F19" s="95">
        <f t="shared" si="1"/>
        <v>1110.02</v>
      </c>
    </row>
    <row r="20" spans="1:6" ht="15.75">
      <c r="A20" s="102" t="s">
        <v>18</v>
      </c>
      <c r="B20" s="104" t="s">
        <v>78</v>
      </c>
      <c r="C20" s="94">
        <f>PRODUCT('[23]MATERIAL '!H7)</f>
        <v>11.21</v>
      </c>
      <c r="D20" s="100" t="s">
        <v>15</v>
      </c>
      <c r="E20" s="34">
        <f>[23]ESTIMATE!I56</f>
        <v>417.3</v>
      </c>
      <c r="F20" s="95">
        <f t="shared" si="1"/>
        <v>4677.93</v>
      </c>
    </row>
    <row r="21" spans="1:6" ht="15.75">
      <c r="A21" s="102" t="s">
        <v>20</v>
      </c>
      <c r="B21" s="104" t="s">
        <v>79</v>
      </c>
      <c r="C21" s="94">
        <f>PRODUCT('[23]MATERIAL '!I7)</f>
        <v>4.47</v>
      </c>
      <c r="D21" s="100" t="s">
        <v>15</v>
      </c>
      <c r="E21" s="1">
        <f>[23]ESTIMATE!I57</f>
        <v>648.59</v>
      </c>
      <c r="F21" s="95">
        <f t="shared" si="1"/>
        <v>2899.2</v>
      </c>
    </row>
    <row r="22" spans="1:6" ht="15.75">
      <c r="A22" s="102" t="s">
        <v>22</v>
      </c>
      <c r="B22" s="96" t="s">
        <v>80</v>
      </c>
      <c r="C22" s="94">
        <f>PRODUCT('[23]MATERIAL '!J7)</f>
        <v>31.9</v>
      </c>
      <c r="D22" s="100" t="s">
        <v>15</v>
      </c>
      <c r="E22" s="34">
        <f>[23]ESTIMATE!I58</f>
        <v>117.54</v>
      </c>
      <c r="F22" s="95">
        <f t="shared" si="1"/>
        <v>3749.53</v>
      </c>
    </row>
    <row r="23" spans="1:6" ht="15.75">
      <c r="A23" s="105"/>
      <c r="B23" s="105"/>
      <c r="C23" s="467" t="s">
        <v>24</v>
      </c>
      <c r="D23" s="467"/>
      <c r="E23" s="468"/>
      <c r="F23" s="95">
        <f>SUM(F5:F22)</f>
        <v>262485.81</v>
      </c>
    </row>
    <row r="24" spans="1:6" ht="15.75">
      <c r="A24" s="105"/>
      <c r="B24" s="105"/>
      <c r="C24" s="478" t="s">
        <v>25</v>
      </c>
      <c r="D24" s="467"/>
      <c r="E24" s="468"/>
      <c r="F24" s="95">
        <f>F23*18%</f>
        <v>47247.445800000001</v>
      </c>
    </row>
    <row r="25" spans="1:6" ht="15.75">
      <c r="A25" s="105"/>
      <c r="B25" s="105"/>
      <c r="C25" s="478" t="s">
        <v>24</v>
      </c>
      <c r="D25" s="467"/>
      <c r="E25" s="468"/>
      <c r="F25" s="95">
        <f>SUM(F23:F24)</f>
        <v>309733.25579999998</v>
      </c>
    </row>
    <row r="26" spans="1:6" ht="15.75">
      <c r="A26" s="105"/>
      <c r="B26" s="105"/>
      <c r="C26" s="467" t="s">
        <v>81</v>
      </c>
      <c r="D26" s="467"/>
      <c r="E26" s="468"/>
      <c r="F26" s="95">
        <f>ROUND(F25*0.01,2)</f>
        <v>3097.33</v>
      </c>
    </row>
    <row r="27" spans="1:6" ht="15.75">
      <c r="A27" s="105"/>
      <c r="B27" s="105"/>
      <c r="C27" s="467" t="s">
        <v>24</v>
      </c>
      <c r="D27" s="467"/>
      <c r="E27" s="468"/>
      <c r="F27" s="95">
        <f>SUM(F25:F26)</f>
        <v>312830.5858</v>
      </c>
    </row>
    <row r="28" spans="1:6" ht="18.75">
      <c r="A28" s="105"/>
      <c r="B28" s="105"/>
      <c r="C28" s="467" t="s">
        <v>27</v>
      </c>
      <c r="D28" s="467"/>
      <c r="E28" s="468"/>
      <c r="F28" s="106">
        <v>312831</v>
      </c>
    </row>
    <row r="29" spans="1:6" ht="18.75">
      <c r="A29" s="107"/>
      <c r="B29" s="107"/>
      <c r="C29" s="108"/>
      <c r="D29" s="108"/>
      <c r="E29" s="108"/>
      <c r="F29" s="109"/>
    </row>
    <row r="30" spans="1:6" ht="18.75">
      <c r="A30" s="107"/>
      <c r="B30" s="107"/>
      <c r="C30" s="108"/>
      <c r="D30" s="108"/>
      <c r="E30" s="108"/>
      <c r="F30" s="109"/>
    </row>
    <row r="31" spans="1:6">
      <c r="A31" s="19"/>
    </row>
    <row r="32" spans="1:6">
      <c r="A32" s="19"/>
    </row>
    <row r="33" spans="1:6" ht="18.75">
      <c r="A33" s="19"/>
      <c r="B33" s="21" t="s">
        <v>28</v>
      </c>
      <c r="C33" s="22" t="s">
        <v>29</v>
      </c>
      <c r="F33" s="18" t="s">
        <v>30</v>
      </c>
    </row>
    <row r="34" spans="1:6" ht="18.75">
      <c r="A34" s="19"/>
      <c r="B34" s="21" t="s">
        <v>31</v>
      </c>
      <c r="C34" s="22" t="s">
        <v>32</v>
      </c>
      <c r="F34" s="18" t="s">
        <v>31</v>
      </c>
    </row>
  </sheetData>
  <mergeCells count="9">
    <mergeCell ref="C26:E26"/>
    <mergeCell ref="C27:E27"/>
    <mergeCell ref="C28:E28"/>
    <mergeCell ref="A1:F1"/>
    <mergeCell ref="A2:F2"/>
    <mergeCell ref="A3:F3"/>
    <mergeCell ref="C23:E23"/>
    <mergeCell ref="C24:E24"/>
    <mergeCell ref="C25:E25"/>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33"/>
  <sheetViews>
    <sheetView workbookViewId="0">
      <selection activeCell="G7" sqref="G7"/>
    </sheetView>
  </sheetViews>
  <sheetFormatPr defaultRowHeight="15"/>
  <cols>
    <col min="1" max="1" width="8.85546875" bestFit="1" customWidth="1"/>
    <col min="2" max="2" width="52.5703125" customWidth="1"/>
    <col min="3" max="3" width="9.42578125" customWidth="1"/>
    <col min="4" max="4" width="9.5703125" customWidth="1"/>
    <col min="5" max="5" width="11" customWidth="1"/>
    <col min="6" max="6" width="19.85546875" style="129" customWidth="1"/>
  </cols>
  <sheetData>
    <row r="1" spans="1:6" ht="20.25">
      <c r="A1" s="472" t="s">
        <v>0</v>
      </c>
      <c r="B1" s="473"/>
      <c r="C1" s="473"/>
      <c r="D1" s="473"/>
      <c r="E1" s="473"/>
      <c r="F1" s="474"/>
    </row>
    <row r="2" spans="1:6" ht="18" customHeight="1">
      <c r="A2" s="488" t="s">
        <v>1</v>
      </c>
      <c r="B2" s="489"/>
      <c r="C2" s="489"/>
      <c r="D2" s="489"/>
      <c r="E2" s="489"/>
      <c r="F2" s="490"/>
    </row>
    <row r="3" spans="1:6" ht="27" customHeight="1">
      <c r="A3" s="493" t="str">
        <f>[24]ESTIMATE!A2</f>
        <v>Name of Work :-CONSTRUCTION OF RCC DRAIN AT SHAHBAG FROM MAHAMUD SHAH HOUSE TO BABU HOUSE AND AHAMAD HOUSE TO EKRAM SHAH SHOP UNDER WARD NO-29</v>
      </c>
      <c r="B3" s="494"/>
      <c r="C3" s="494"/>
      <c r="D3" s="494"/>
      <c r="E3" s="494"/>
      <c r="F3" s="495"/>
    </row>
    <row r="4" spans="1:6" ht="31.5">
      <c r="A4" s="110" t="s">
        <v>2</v>
      </c>
      <c r="B4" s="111" t="s">
        <v>3</v>
      </c>
      <c r="C4" s="111" t="s">
        <v>4</v>
      </c>
      <c r="D4" s="111" t="s">
        <v>5</v>
      </c>
      <c r="E4" s="110" t="s">
        <v>6</v>
      </c>
      <c r="F4" s="112" t="s">
        <v>7</v>
      </c>
    </row>
    <row r="5" spans="1:6" ht="22.5" customHeight="1">
      <c r="A5" s="110">
        <f>[24]ESTIMATE!A4</f>
        <v>1</v>
      </c>
      <c r="B5" s="113" t="str">
        <f>[24]ESTIMATE!B4</f>
        <v>Labour for site clearence before and after the work etc.</v>
      </c>
      <c r="C5" s="114">
        <f>[24]ESTIMATE!G4</f>
        <v>3</v>
      </c>
      <c r="D5" s="115" t="str">
        <f>[24]ESTIMATE!H4</f>
        <v>Nos.</v>
      </c>
      <c r="E5" s="114">
        <f>[24]ESTIMATE!I4</f>
        <v>326.85000000000002</v>
      </c>
      <c r="F5" s="116">
        <f t="shared" ref="F5:F15" si="0">ROUND(C5*E5,2)</f>
        <v>980.55</v>
      </c>
    </row>
    <row r="6" spans="1:6" ht="75">
      <c r="A6" s="110" t="str">
        <f>[24]ESTIMATE!A5</f>
        <v>2       5.10.1</v>
      </c>
      <c r="B6" s="117" t="str">
        <f>[24]ESTIMATE!B5</f>
        <v>Dismantling pucca brick or lime work including stacking serviceable materials in countable stacks within 15M.lead and disposal of unserviceable materials with all leads complete  as per direction of E/I</v>
      </c>
      <c r="C6" s="114">
        <f>[24]ESTIMATE!G8</f>
        <v>6.37</v>
      </c>
      <c r="D6" s="115" t="s">
        <v>15</v>
      </c>
      <c r="E6" s="114">
        <f>[24]ESTIMATE!I8</f>
        <v>541.66999999999996</v>
      </c>
      <c r="F6" s="116">
        <f t="shared" si="0"/>
        <v>3450.44</v>
      </c>
    </row>
    <row r="7" spans="1:6" ht="75">
      <c r="A7" s="110" t="str">
        <f>[24]ESTIMATE!A9</f>
        <v>3       5.10.2</v>
      </c>
      <c r="B7" s="117" t="str">
        <f>[24]ESTIMATE!B9</f>
        <v>Dismantling  plain cement concrete or lime concrete work including stacking serviceable material in countable stacks withnn 15M.lead and disposal of unserviceable material with all lead completed as per direction of E/I.</v>
      </c>
      <c r="C7" s="114">
        <f>[24]ESTIMATE!G12</f>
        <v>1.06</v>
      </c>
      <c r="D7" s="115" t="s">
        <v>15</v>
      </c>
      <c r="E7" s="114">
        <f>[24]ESTIMATE!I12</f>
        <v>955.89</v>
      </c>
      <c r="F7" s="116">
        <f t="shared" si="0"/>
        <v>1013.24</v>
      </c>
    </row>
    <row r="8" spans="1:6" ht="120">
      <c r="A8" s="110" t="str">
        <f>[24]ESTIMATE!A13</f>
        <v>4       5.1.1.</v>
      </c>
      <c r="B8" s="117" t="s">
        <v>9</v>
      </c>
      <c r="C8" s="114">
        <f>[24]ESTIMATE!G17</f>
        <v>30.37</v>
      </c>
      <c r="D8" s="115" t="s">
        <v>15</v>
      </c>
      <c r="E8" s="114">
        <f>[24]ESTIMATE!I17</f>
        <v>151.82</v>
      </c>
      <c r="F8" s="116">
        <f t="shared" si="0"/>
        <v>4610.7700000000004</v>
      </c>
    </row>
    <row r="9" spans="1:6" ht="105">
      <c r="A9" s="110" t="str">
        <f>[24]ESTIMATE!A18</f>
        <v>5.         5.1.10</v>
      </c>
      <c r="B9" s="117" t="s">
        <v>46</v>
      </c>
      <c r="C9" s="114">
        <f>[24]ESTIMATE!G21</f>
        <v>3.54</v>
      </c>
      <c r="D9" s="115" t="s">
        <v>15</v>
      </c>
      <c r="E9" s="114">
        <f>[24]ESTIMATE!I21</f>
        <v>589.51</v>
      </c>
      <c r="F9" s="116">
        <f t="shared" si="0"/>
        <v>2086.87</v>
      </c>
    </row>
    <row r="10" spans="1:6" ht="75">
      <c r="A10" s="110" t="str">
        <f>[24]ESTIMATE!A22</f>
        <v>6.       5.6.8 (C.I.W.)</v>
      </c>
      <c r="B10" s="117" t="s">
        <v>48</v>
      </c>
      <c r="C10" s="114">
        <f>[24]ESTIMATE!G25</f>
        <v>5.95</v>
      </c>
      <c r="D10" s="115" t="s">
        <v>15</v>
      </c>
      <c r="E10" s="114">
        <f>[24]ESTIMATE!I25</f>
        <v>1756.4</v>
      </c>
      <c r="F10" s="116">
        <f t="shared" si="0"/>
        <v>10450.58</v>
      </c>
    </row>
    <row r="11" spans="1:6" ht="65.099999999999994" customHeight="1">
      <c r="A11" s="110" t="str">
        <f>[24]ESTIMATE!A26</f>
        <v>7.                                    5.3.10</v>
      </c>
      <c r="B11" s="118" t="str">
        <f>[24]ESTIMATE!B26</f>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
      <c r="C11" s="114">
        <f>[24]ESTIMATE!G30</f>
        <v>17.7</v>
      </c>
      <c r="D11" s="115" t="s">
        <v>15</v>
      </c>
      <c r="E11" s="114">
        <f>[24]ESTIMATE!I30</f>
        <v>6082.45</v>
      </c>
      <c r="F11" s="116">
        <f t="shared" si="0"/>
        <v>107659.37</v>
      </c>
    </row>
    <row r="12" spans="1:6" ht="65.099999999999994" customHeight="1">
      <c r="A12" s="110" t="str">
        <f>[24]ESTIMATE!A31</f>
        <v>8                  5.3.11</v>
      </c>
      <c r="B12" s="118" t="str">
        <f>[24]ESTIMATE!B31</f>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
      <c r="C12" s="114">
        <f>[24]ESTIMATE!G34</f>
        <v>7.08</v>
      </c>
      <c r="D12" s="115" t="s">
        <v>15</v>
      </c>
      <c r="E12" s="114">
        <f>[24]ESTIMATE!I34</f>
        <v>6308.87</v>
      </c>
      <c r="F12" s="116">
        <f t="shared" si="0"/>
        <v>44666.8</v>
      </c>
    </row>
    <row r="13" spans="1:6" ht="65.099999999999994" customHeight="1">
      <c r="A13" s="110">
        <f>[24]ESTIMATE!A35</f>
        <v>9</v>
      </c>
      <c r="B13" s="118" t="str">
        <f>[24]ESTIMATE!B35</f>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
      <c r="C13" s="114">
        <f>[24]ESTIMATE!G39</f>
        <v>0.91</v>
      </c>
      <c r="D13" s="115" t="str">
        <f>[24]ESTIMATE!H39</f>
        <v>MT</v>
      </c>
      <c r="E13" s="114">
        <f>[24]ESTIMATE!I39</f>
        <v>83314.02</v>
      </c>
      <c r="F13" s="116">
        <f t="shared" si="0"/>
        <v>75815.759999999995</v>
      </c>
    </row>
    <row r="14" spans="1:6" ht="15.75">
      <c r="A14" s="110"/>
      <c r="B14" s="118"/>
      <c r="C14" s="114">
        <f>[24]ESTIMATE!G43</f>
        <v>1.1200000000000001</v>
      </c>
      <c r="D14" s="115" t="str">
        <f>[24]ESTIMATE!H43</f>
        <v>MT</v>
      </c>
      <c r="E14" s="114">
        <f>[24]ESTIMATE!I43</f>
        <v>82096.539999999994</v>
      </c>
      <c r="F14" s="116">
        <f t="shared" si="0"/>
        <v>91948.12</v>
      </c>
    </row>
    <row r="15" spans="1:6" ht="60">
      <c r="A15" s="110" t="str">
        <f>[24]ESTIMATE!A44</f>
        <v>10                 5.3.17.1</v>
      </c>
      <c r="B15" s="117" t="str">
        <f>[24]ESTIMATE!B44</f>
        <v>Centering and shuttering including strutting, propping etc. and removal of from for Foundations,footings, bases of columns, etc. for mass concrete.</v>
      </c>
      <c r="C15" s="114">
        <f>[24]ESTIMATE!G48</f>
        <v>185.87</v>
      </c>
      <c r="D15" s="119" t="s">
        <v>11</v>
      </c>
      <c r="E15" s="110">
        <f>[24]ESTIMATE!I48</f>
        <v>194.5</v>
      </c>
      <c r="F15" s="112">
        <f t="shared" si="0"/>
        <v>36151.72</v>
      </c>
    </row>
    <row r="16" spans="1:6" ht="15.75">
      <c r="A16" s="110">
        <f>[24]ESTIMATE!A49</f>
        <v>11</v>
      </c>
      <c r="B16" s="120" t="s">
        <v>12</v>
      </c>
      <c r="C16" s="115"/>
      <c r="D16" s="121"/>
      <c r="E16" s="122"/>
      <c r="F16" s="116"/>
    </row>
    <row r="17" spans="1:6" ht="15.75">
      <c r="A17" s="123" t="s">
        <v>13</v>
      </c>
      <c r="B17" s="124" t="str">
        <f>[24]ESTIMATE!B50</f>
        <v>SAND (Kanchi River)-LEAD-47KM</v>
      </c>
      <c r="C17" s="115">
        <f>PRODUCT('[24]MATERIAL '!F7)</f>
        <v>10.66</v>
      </c>
      <c r="D17" s="121" t="s">
        <v>15</v>
      </c>
      <c r="E17" s="1">
        <f>[24]ESTIMATE!I50</f>
        <v>819.06</v>
      </c>
      <c r="F17" s="116">
        <f t="shared" ref="F17:F21" si="1">ROUND(C17*E17,2)</f>
        <v>8731.18</v>
      </c>
    </row>
    <row r="18" spans="1:6" ht="15.75">
      <c r="A18" s="123" t="s">
        <v>16</v>
      </c>
      <c r="B18" s="125" t="str">
        <f>[24]ESTIMATE!B51</f>
        <v>LOCAL SAND-LEAD-16KM</v>
      </c>
      <c r="C18" s="115">
        <f>PRODUCT('[24]MATERIAL '!G7)</f>
        <v>3.54</v>
      </c>
      <c r="D18" s="121" t="s">
        <v>15</v>
      </c>
      <c r="E18" s="34">
        <f>[24]ESTIMATE!I51</f>
        <v>357.78</v>
      </c>
      <c r="F18" s="116">
        <f t="shared" si="1"/>
        <v>1266.54</v>
      </c>
    </row>
    <row r="19" spans="1:6" ht="15.75">
      <c r="A19" s="123" t="s">
        <v>18</v>
      </c>
      <c r="B19" s="125" t="str">
        <f>[24]ESTIMATE!B52</f>
        <v>STONE CHIPS-LEAD-20KM</v>
      </c>
      <c r="C19" s="115">
        <f>PRODUCT('[24]MATERIAL '!H7)</f>
        <v>21.31</v>
      </c>
      <c r="D19" s="121" t="s">
        <v>15</v>
      </c>
      <c r="E19" s="34">
        <f>[24]ESTIMATE!I52</f>
        <v>417.3</v>
      </c>
      <c r="F19" s="116">
        <f t="shared" si="1"/>
        <v>8892.66</v>
      </c>
    </row>
    <row r="20" spans="1:6" ht="15.75">
      <c r="A20" s="123" t="s">
        <v>20</v>
      </c>
      <c r="B20" s="125" t="str">
        <f>[24]ESTIMATE!B53</f>
        <v>BOULDER-LEAD-34KM</v>
      </c>
      <c r="C20" s="115">
        <f>PRODUCT('[24]MATERIAL '!I7)</f>
        <v>5.95</v>
      </c>
      <c r="D20" s="121" t="s">
        <v>15</v>
      </c>
      <c r="E20" s="1">
        <f>[24]ESTIMATE!I53</f>
        <v>648.59</v>
      </c>
      <c r="F20" s="116">
        <f t="shared" si="1"/>
        <v>3859.11</v>
      </c>
    </row>
    <row r="21" spans="1:6" ht="15.75">
      <c r="A21" s="123" t="s">
        <v>22</v>
      </c>
      <c r="B21" s="117" t="str">
        <f>[24]ESTIMATE!B54</f>
        <v>EARTH-LEAD-01KM</v>
      </c>
      <c r="C21" s="115">
        <f>PRODUCT('[24]MATERIAL '!J7)</f>
        <v>30.37</v>
      </c>
      <c r="D21" s="121" t="s">
        <v>15</v>
      </c>
      <c r="E21" s="34">
        <f>[24]ESTIMATE!I54</f>
        <v>117.54</v>
      </c>
      <c r="F21" s="116">
        <f t="shared" si="1"/>
        <v>3569.69</v>
      </c>
    </row>
    <row r="22" spans="1:6" ht="15.75">
      <c r="A22" s="126"/>
      <c r="B22" s="126"/>
      <c r="C22" s="491" t="s">
        <v>24</v>
      </c>
      <c r="D22" s="491"/>
      <c r="E22" s="492"/>
      <c r="F22" s="116">
        <f>SUM(F5:F21)</f>
        <v>405153.39999999991</v>
      </c>
    </row>
    <row r="23" spans="1:6" ht="15.75">
      <c r="A23" s="127"/>
      <c r="B23" s="127"/>
      <c r="C23" s="496" t="s">
        <v>25</v>
      </c>
      <c r="D23" s="496"/>
      <c r="E23" s="496"/>
      <c r="F23" s="116">
        <f>ROUND(F22*0.18,2)</f>
        <v>72927.61</v>
      </c>
    </row>
    <row r="24" spans="1:6" ht="15.75">
      <c r="A24" s="126"/>
      <c r="B24" s="126"/>
      <c r="C24" s="497" t="s">
        <v>24</v>
      </c>
      <c r="D24" s="491"/>
      <c r="E24" s="492"/>
      <c r="F24" s="116">
        <f>SUM(F22:F23)</f>
        <v>478081.00999999989</v>
      </c>
    </row>
    <row r="25" spans="1:6" ht="15.75">
      <c r="A25" s="126"/>
      <c r="B25" s="126"/>
      <c r="C25" s="491" t="s">
        <v>26</v>
      </c>
      <c r="D25" s="491"/>
      <c r="E25" s="492"/>
      <c r="F25" s="116">
        <f>ROUND(F24*0.01,2)</f>
        <v>4780.8100000000004</v>
      </c>
    </row>
    <row r="26" spans="1:6" ht="15.75">
      <c r="A26" s="126"/>
      <c r="B26" s="126"/>
      <c r="C26" s="491" t="s">
        <v>24</v>
      </c>
      <c r="D26" s="491"/>
      <c r="E26" s="492"/>
      <c r="F26" s="116">
        <f>SUM(F24:F25)</f>
        <v>482861.81999999989</v>
      </c>
    </row>
    <row r="27" spans="1:6" ht="18">
      <c r="A27" s="126"/>
      <c r="B27" s="126"/>
      <c r="C27" s="491" t="s">
        <v>27</v>
      </c>
      <c r="D27" s="491"/>
      <c r="E27" s="492"/>
      <c r="F27" s="128">
        <v>482862</v>
      </c>
    </row>
    <row r="28" spans="1:6" ht="18">
      <c r="A28" s="40"/>
      <c r="B28" s="40"/>
      <c r="C28" s="41"/>
      <c r="D28" s="41"/>
      <c r="E28" s="41"/>
      <c r="F28" s="42"/>
    </row>
    <row r="29" spans="1:6" ht="18.75">
      <c r="A29" s="16"/>
      <c r="B29" s="16"/>
      <c r="C29" s="17"/>
      <c r="D29" s="17"/>
      <c r="E29" s="17"/>
      <c r="F29" s="18"/>
    </row>
    <row r="30" spans="1:6">
      <c r="A30" s="19"/>
    </row>
    <row r="31" spans="1:6">
      <c r="A31" s="19"/>
    </row>
    <row r="32" spans="1:6" ht="18.75">
      <c r="A32" s="19"/>
      <c r="B32" s="21"/>
      <c r="C32" s="22"/>
      <c r="F32" s="18"/>
    </row>
    <row r="33" spans="1:6" ht="18.75">
      <c r="A33" s="19"/>
      <c r="B33" s="21"/>
      <c r="C33" s="22"/>
      <c r="F33" s="18"/>
    </row>
  </sheetData>
  <mergeCells count="9">
    <mergeCell ref="C25:E25"/>
    <mergeCell ref="C26:E26"/>
    <mergeCell ref="C27:E27"/>
    <mergeCell ref="A1:F1"/>
    <mergeCell ref="A2:F2"/>
    <mergeCell ref="A3:F3"/>
    <mergeCell ref="C22:E22"/>
    <mergeCell ref="C23:E23"/>
    <mergeCell ref="C24:E24"/>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32"/>
  <sheetViews>
    <sheetView workbookViewId="0">
      <selection activeCell="A3" sqref="A3:F3"/>
    </sheetView>
  </sheetViews>
  <sheetFormatPr defaultRowHeight="15"/>
  <cols>
    <col min="1" max="1" width="9" bestFit="1" customWidth="1"/>
    <col min="2" max="2" width="53.5703125" customWidth="1"/>
    <col min="3" max="3" width="9" bestFit="1" customWidth="1"/>
    <col min="5" max="5" width="11.28515625" bestFit="1" customWidth="1"/>
    <col min="6" max="6" width="18.7109375" style="129" bestFit="1" customWidth="1"/>
  </cols>
  <sheetData>
    <row r="1" spans="1:6" ht="20.25">
      <c r="A1" s="472" t="s">
        <v>0</v>
      </c>
      <c r="B1" s="473"/>
      <c r="C1" s="473"/>
      <c r="D1" s="473"/>
      <c r="E1" s="473"/>
      <c r="F1" s="474"/>
    </row>
    <row r="2" spans="1:6" ht="18" customHeight="1">
      <c r="A2" s="488" t="s">
        <v>1</v>
      </c>
      <c r="B2" s="489"/>
      <c r="C2" s="489"/>
      <c r="D2" s="489"/>
      <c r="E2" s="489"/>
      <c r="F2" s="490"/>
    </row>
    <row r="3" spans="1:6" ht="32.450000000000003" customHeight="1">
      <c r="A3" s="493" t="str">
        <f>[25]ESTIMATE!A2</f>
        <v>Name of Work :-CONSTRUCTION OF RCC DRAIN AT IRGU ROAD, FROM MASZID TO TANVEER HOUSE UNDER WARD NO-29</v>
      </c>
      <c r="B3" s="494"/>
      <c r="C3" s="494"/>
      <c r="D3" s="494"/>
      <c r="E3" s="494"/>
      <c r="F3" s="495"/>
    </row>
    <row r="4" spans="1:6" ht="31.5">
      <c r="A4" s="110" t="s">
        <v>2</v>
      </c>
      <c r="B4" s="111" t="s">
        <v>3</v>
      </c>
      <c r="C4" s="111" t="s">
        <v>4</v>
      </c>
      <c r="D4" s="111" t="s">
        <v>5</v>
      </c>
      <c r="E4" s="110" t="s">
        <v>6</v>
      </c>
      <c r="F4" s="112" t="s">
        <v>7</v>
      </c>
    </row>
    <row r="5" spans="1:6" ht="22.5" customHeight="1">
      <c r="A5" s="110">
        <f>[25]ESTIMATE!A4</f>
        <v>1</v>
      </c>
      <c r="B5" s="130" t="str">
        <f>[25]ESTIMATE!B4</f>
        <v>Labour for site clearence before and after the work etc.</v>
      </c>
      <c r="C5" s="114">
        <f>[25]ESTIMATE!G4</f>
        <v>1</v>
      </c>
      <c r="D5" s="115" t="str">
        <f>[25]ESTIMATE!H4</f>
        <v>No.</v>
      </c>
      <c r="E5" s="114">
        <f>[25]ESTIMATE!I4</f>
        <v>326.85000000000002</v>
      </c>
      <c r="F5" s="116">
        <f t="shared" ref="F5:F14" si="0">ROUND(C5*E5,2)</f>
        <v>326.85000000000002</v>
      </c>
    </row>
    <row r="6" spans="1:6" ht="45">
      <c r="A6" s="110" t="str">
        <f>[25]ESTIMATE!A5</f>
        <v xml:space="preserve">    2         5.10.2</v>
      </c>
      <c r="B6" s="117" t="str">
        <f>[25]ESTIMATE!B5</f>
        <v>Dismantling plain cement or lime concrete work including ………do…….complete as per specification and  direction of E/I.</v>
      </c>
      <c r="C6" s="114">
        <f>[25]ESTIMATE!G8</f>
        <v>1.06</v>
      </c>
      <c r="D6" s="115" t="s">
        <v>15</v>
      </c>
      <c r="E6" s="114">
        <f>[25]ESTIMATE!I8</f>
        <v>955.89</v>
      </c>
      <c r="F6" s="116">
        <f t="shared" si="0"/>
        <v>1013.24</v>
      </c>
    </row>
    <row r="7" spans="1:6" ht="120">
      <c r="A7" s="110" t="str">
        <f>[25]ESTIMATE!A9</f>
        <v>3       5.1.1.</v>
      </c>
      <c r="B7" s="117" t="s">
        <v>9</v>
      </c>
      <c r="C7" s="114">
        <f>[25]ESTIMATE!G13</f>
        <v>23.63</v>
      </c>
      <c r="D7" s="115" t="s">
        <v>15</v>
      </c>
      <c r="E7" s="114">
        <f>[25]ESTIMATE!I13</f>
        <v>151.82</v>
      </c>
      <c r="F7" s="116">
        <f t="shared" si="0"/>
        <v>3587.51</v>
      </c>
    </row>
    <row r="8" spans="1:6" ht="105">
      <c r="A8" s="110" t="str">
        <f>[25]ESTIMATE!A14</f>
        <v>4.         5.1.10</v>
      </c>
      <c r="B8" s="117" t="s">
        <v>46</v>
      </c>
      <c r="C8" s="114">
        <f>[25]ESTIMATE!G17</f>
        <v>1.95</v>
      </c>
      <c r="D8" s="115" t="s">
        <v>15</v>
      </c>
      <c r="E8" s="114">
        <f>[25]ESTIMATE!I17</f>
        <v>589.51</v>
      </c>
      <c r="F8" s="116">
        <f t="shared" si="0"/>
        <v>1149.54</v>
      </c>
    </row>
    <row r="9" spans="1:6" ht="75">
      <c r="A9" s="110" t="str">
        <f>[25]ESTIMATE!A18</f>
        <v>5.       5.6.8 (C.I.W.)</v>
      </c>
      <c r="B9" s="117" t="s">
        <v>48</v>
      </c>
      <c r="C9" s="114">
        <f>[25]ESTIMATE!G21</f>
        <v>3.27</v>
      </c>
      <c r="D9" s="115" t="s">
        <v>15</v>
      </c>
      <c r="E9" s="114">
        <f>[25]ESTIMATE!I21</f>
        <v>1756.4</v>
      </c>
      <c r="F9" s="116">
        <f t="shared" si="0"/>
        <v>5743.43</v>
      </c>
    </row>
    <row r="10" spans="1:6" ht="65.099999999999994" customHeight="1">
      <c r="A10" s="110" t="str">
        <f>[25]ESTIMATE!A22</f>
        <v>6.                                    5.3.10</v>
      </c>
      <c r="B10" s="118" t="str">
        <f>[25]ESTIMATE!B22</f>
        <v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v>
      </c>
      <c r="C10" s="114">
        <f>[25]ESTIMATE!G26</f>
        <v>8.57</v>
      </c>
      <c r="D10" s="115" t="s">
        <v>15</v>
      </c>
      <c r="E10" s="114">
        <f>[25]ESTIMATE!I26</f>
        <v>6082.45</v>
      </c>
      <c r="F10" s="116">
        <f t="shared" si="0"/>
        <v>52126.6</v>
      </c>
    </row>
    <row r="11" spans="1:6" ht="65.099999999999994" customHeight="1">
      <c r="A11" s="110" t="str">
        <f>[25]ESTIMATE!A27</f>
        <v>7                  5.3.11</v>
      </c>
      <c r="B11" s="118" t="str">
        <f>[25]ESTIMATE!B27</f>
        <v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v>
      </c>
      <c r="C11" s="114">
        <f>[25]ESTIMATE!G30</f>
        <v>3.89</v>
      </c>
      <c r="D11" s="115" t="s">
        <v>15</v>
      </c>
      <c r="E11" s="114">
        <f>[25]ESTIMATE!I30</f>
        <v>6308.87</v>
      </c>
      <c r="F11" s="116">
        <f t="shared" si="0"/>
        <v>24541.5</v>
      </c>
    </row>
    <row r="12" spans="1:6" ht="65.099999999999994" customHeight="1">
      <c r="A12" s="110">
        <f>[25]ESTIMATE!A31</f>
        <v>8</v>
      </c>
      <c r="B12" s="118" t="str">
        <f>[25]ESTIMATE!B31</f>
        <v xml:space="preserve">Providing  Tor steel reinforcement of 8mm, 10mm, 12mm, and 16mm dia rods bars as per approved design and drawing with cutting,bending and binding with annealed wire with cost of wire,removal of rust,placing the rods in position (excluding carriage of bars to work site), all complete as per building specification and direction of E/I. TMT Fe 500 (only valid for SAIL and TATA steel,JSPL,Electro steel Ltd Bokaro and Vizag (RINL) </v>
      </c>
      <c r="C12" s="114">
        <f>[25]ESTIMATE!G35</f>
        <v>0.46</v>
      </c>
      <c r="D12" s="115" t="str">
        <f>[25]ESTIMATE!H35</f>
        <v>MT</v>
      </c>
      <c r="E12" s="114">
        <f>[25]ESTIMATE!I35</f>
        <v>83314.02</v>
      </c>
      <c r="F12" s="116">
        <f t="shared" si="0"/>
        <v>38324.449999999997</v>
      </c>
    </row>
    <row r="13" spans="1:6" ht="15.75">
      <c r="A13" s="110"/>
      <c r="B13" s="118"/>
      <c r="C13" s="114">
        <f>[25]ESTIMATE!G39</f>
        <v>0.56000000000000005</v>
      </c>
      <c r="D13" s="115" t="str">
        <f>[25]ESTIMATE!H39</f>
        <v>MT</v>
      </c>
      <c r="E13" s="114">
        <f>[25]ESTIMATE!I39</f>
        <v>82096.539999999994</v>
      </c>
      <c r="F13" s="116">
        <f t="shared" si="0"/>
        <v>45974.06</v>
      </c>
    </row>
    <row r="14" spans="1:6" ht="60">
      <c r="A14" s="110" t="str">
        <f>[25]ESTIMATE!A40</f>
        <v>9                 5.3.17.1</v>
      </c>
      <c r="B14" s="117" t="str">
        <f>[25]ESTIMATE!B40</f>
        <v>Centering and shuttering including strutting, propping etc. and removal of from for Foundations,footings, bases of columns, etc. for mass concrete.</v>
      </c>
      <c r="C14" s="114">
        <f>[25]ESTIMATE!G44</f>
        <v>40.89</v>
      </c>
      <c r="D14" s="119" t="s">
        <v>11</v>
      </c>
      <c r="E14" s="110">
        <f>[25]ESTIMATE!I44</f>
        <v>194.5</v>
      </c>
      <c r="F14" s="112">
        <f t="shared" si="0"/>
        <v>7953.11</v>
      </c>
    </row>
    <row r="15" spans="1:6" ht="15.75">
      <c r="A15" s="110">
        <f>[25]ESTIMATE!A45</f>
        <v>10</v>
      </c>
      <c r="B15" s="120" t="s">
        <v>12</v>
      </c>
      <c r="C15" s="115"/>
      <c r="D15" s="121"/>
      <c r="E15" s="122"/>
      <c r="F15" s="116"/>
    </row>
    <row r="16" spans="1:6" ht="15.75">
      <c r="A16" s="123" t="s">
        <v>13</v>
      </c>
      <c r="B16" s="124" t="str">
        <f>[25]ESTIMATE!B46</f>
        <v>SAND (Kanchi River)-LEAD-47KM</v>
      </c>
      <c r="C16" s="115">
        <f>PRODUCT('[25]MATERIAL '!F7)</f>
        <v>5.36</v>
      </c>
      <c r="D16" s="121" t="s">
        <v>15</v>
      </c>
      <c r="E16" s="1">
        <f>[25]ESTIMATE!I46</f>
        <v>819.06</v>
      </c>
      <c r="F16" s="116">
        <f t="shared" ref="F16:F20" si="1">ROUND(C16*E16,2)</f>
        <v>4390.16</v>
      </c>
    </row>
    <row r="17" spans="1:6" ht="15.75">
      <c r="A17" s="123" t="s">
        <v>16</v>
      </c>
      <c r="B17" s="125" t="str">
        <f>[25]ESTIMATE!B47</f>
        <v>LOCAL SAND-LEAD-16KM</v>
      </c>
      <c r="C17" s="115">
        <f>PRODUCT('[25]MATERIAL '!G7)</f>
        <v>1.95</v>
      </c>
      <c r="D17" s="121" t="s">
        <v>15</v>
      </c>
      <c r="E17" s="34">
        <f>[25]ESTIMATE!I47</f>
        <v>357.78</v>
      </c>
      <c r="F17" s="116">
        <f t="shared" si="1"/>
        <v>697.67</v>
      </c>
    </row>
    <row r="18" spans="1:6" ht="15.75">
      <c r="A18" s="123" t="s">
        <v>18</v>
      </c>
      <c r="B18" s="125" t="str">
        <f>[25]ESTIMATE!B48</f>
        <v>STONE CHIPS-LEAD-20KM</v>
      </c>
      <c r="C18" s="115">
        <f>PRODUCT('[25]MATERIAL '!H7)</f>
        <v>10.72</v>
      </c>
      <c r="D18" s="121" t="s">
        <v>15</v>
      </c>
      <c r="E18" s="34">
        <f>[25]ESTIMATE!I48</f>
        <v>417.3</v>
      </c>
      <c r="F18" s="116">
        <f t="shared" si="1"/>
        <v>4473.46</v>
      </c>
    </row>
    <row r="19" spans="1:6" ht="15.75">
      <c r="A19" s="123" t="s">
        <v>20</v>
      </c>
      <c r="B19" s="125" t="str">
        <f>[25]ESTIMATE!B49</f>
        <v>BOULDER-LEAD-34KM</v>
      </c>
      <c r="C19" s="115">
        <f>PRODUCT('[25]MATERIAL '!I7)</f>
        <v>3.27</v>
      </c>
      <c r="D19" s="121" t="s">
        <v>15</v>
      </c>
      <c r="E19" s="1">
        <f>[25]ESTIMATE!I49</f>
        <v>648.59</v>
      </c>
      <c r="F19" s="116">
        <f t="shared" si="1"/>
        <v>2120.89</v>
      </c>
    </row>
    <row r="20" spans="1:6" ht="15.75">
      <c r="A20" s="123" t="s">
        <v>22</v>
      </c>
      <c r="B20" s="117" t="str">
        <f>[25]ESTIMATE!B50</f>
        <v>EARTH-LEAD-01KM</v>
      </c>
      <c r="C20" s="115">
        <f>PRODUCT('[25]MATERIAL '!J7)</f>
        <v>23.63</v>
      </c>
      <c r="D20" s="121" t="s">
        <v>15</v>
      </c>
      <c r="E20" s="34">
        <f>[25]ESTIMATE!I50</f>
        <v>117.54</v>
      </c>
      <c r="F20" s="116">
        <f t="shared" si="1"/>
        <v>2777.47</v>
      </c>
    </row>
    <row r="21" spans="1:6" ht="15.75">
      <c r="A21" s="126"/>
      <c r="B21" s="126"/>
      <c r="C21" s="498" t="s">
        <v>24</v>
      </c>
      <c r="D21" s="498"/>
      <c r="E21" s="499"/>
      <c r="F21" s="116">
        <f>SUM(F5:F20)</f>
        <v>195199.94</v>
      </c>
    </row>
    <row r="22" spans="1:6" ht="15.75">
      <c r="A22" s="127"/>
      <c r="B22" s="127"/>
      <c r="C22" s="500" t="s">
        <v>25</v>
      </c>
      <c r="D22" s="500"/>
      <c r="E22" s="500"/>
      <c r="F22" s="116">
        <f>ROUND(F21*0.18,2)</f>
        <v>35135.99</v>
      </c>
    </row>
    <row r="23" spans="1:6" ht="15.75">
      <c r="A23" s="126"/>
      <c r="B23" s="126"/>
      <c r="C23" s="501" t="s">
        <v>24</v>
      </c>
      <c r="D23" s="498"/>
      <c r="E23" s="499"/>
      <c r="F23" s="116">
        <f>SUM(F21:F22)</f>
        <v>230335.93</v>
      </c>
    </row>
    <row r="24" spans="1:6" ht="15.75">
      <c r="A24" s="126"/>
      <c r="B24" s="126"/>
      <c r="C24" s="498" t="s">
        <v>26</v>
      </c>
      <c r="D24" s="498"/>
      <c r="E24" s="499"/>
      <c r="F24" s="116">
        <f>ROUND(F23*0.01,2)</f>
        <v>2303.36</v>
      </c>
    </row>
    <row r="25" spans="1:6" ht="15.75">
      <c r="A25" s="126"/>
      <c r="B25" s="126"/>
      <c r="C25" s="498" t="s">
        <v>24</v>
      </c>
      <c r="D25" s="498"/>
      <c r="E25" s="499"/>
      <c r="F25" s="116">
        <f>SUM(F23:F24)</f>
        <v>232639.28999999998</v>
      </c>
    </row>
    <row r="26" spans="1:6" ht="18">
      <c r="A26" s="126"/>
      <c r="B26" s="126"/>
      <c r="C26" s="498" t="s">
        <v>27</v>
      </c>
      <c r="D26" s="498"/>
      <c r="E26" s="499"/>
      <c r="F26" s="128">
        <v>232639</v>
      </c>
    </row>
    <row r="27" spans="1:6" ht="18">
      <c r="A27" s="40"/>
      <c r="B27" s="40"/>
      <c r="C27" s="41"/>
      <c r="D27" s="41"/>
      <c r="E27" s="41"/>
      <c r="F27" s="42"/>
    </row>
    <row r="28" spans="1:6" ht="18.75">
      <c r="A28" s="16"/>
      <c r="B28" s="16"/>
      <c r="C28" s="17"/>
      <c r="D28" s="17"/>
      <c r="E28" s="17"/>
      <c r="F28" s="18"/>
    </row>
    <row r="29" spans="1:6">
      <c r="A29" s="19"/>
    </row>
    <row r="30" spans="1:6">
      <c r="A30" s="19"/>
    </row>
    <row r="31" spans="1:6" ht="18.75">
      <c r="A31" s="19"/>
      <c r="B31" s="21"/>
      <c r="C31" s="22"/>
      <c r="F31" s="18"/>
    </row>
    <row r="32" spans="1:6" ht="18.75">
      <c r="A32" s="19"/>
      <c r="B32" s="21"/>
      <c r="C32" s="22"/>
      <c r="F32" s="18"/>
    </row>
  </sheetData>
  <mergeCells count="9">
    <mergeCell ref="C24:E24"/>
    <mergeCell ref="C25:E25"/>
    <mergeCell ref="C26:E26"/>
    <mergeCell ref="A1:F1"/>
    <mergeCell ref="A2:F2"/>
    <mergeCell ref="A3:F3"/>
    <mergeCell ref="C21:E21"/>
    <mergeCell ref="C22:E22"/>
    <mergeCell ref="C23:E23"/>
  </mergeCells>
  <pageMargins left="0.7" right="0.7" top="0.75" bottom="0.75" header="0.3" footer="0.3"/>
</worksheet>
</file>

<file path=xl/worksheets/sheet27.xml><?xml version="1.0" encoding="utf-8"?>
<worksheet xmlns="http://schemas.openxmlformats.org/spreadsheetml/2006/main" xmlns:r="http://schemas.openxmlformats.org/officeDocument/2006/relationships">
  <sheetPr>
    <tabColor theme="0"/>
  </sheetPr>
  <dimension ref="A1:G21"/>
  <sheetViews>
    <sheetView topLeftCell="A10" workbookViewId="0">
      <selection activeCell="B3" sqref="B3:F3"/>
    </sheetView>
  </sheetViews>
  <sheetFormatPr defaultRowHeight="63.75" customHeight="1"/>
  <cols>
    <col min="1" max="1" width="7.5703125" style="304" customWidth="1"/>
    <col min="2" max="2" width="46.85546875" style="304" customWidth="1"/>
    <col min="3" max="3" width="8.5703125" style="304" bestFit="1" customWidth="1"/>
    <col min="4" max="4" width="5.28515625" style="304" customWidth="1"/>
    <col min="5" max="5" width="8.28515625" style="304" customWidth="1"/>
    <col min="6" max="6" width="14" style="304" customWidth="1"/>
    <col min="7" max="16384" width="9.140625" style="304"/>
  </cols>
  <sheetData>
    <row r="1" spans="1:7" ht="22.5">
      <c r="B1" s="509" t="s">
        <v>0</v>
      </c>
      <c r="C1" s="509"/>
      <c r="D1" s="509"/>
      <c r="E1" s="509"/>
      <c r="F1" s="509"/>
    </row>
    <row r="2" spans="1:7" ht="22.5">
      <c r="B2" s="510" t="s">
        <v>75</v>
      </c>
      <c r="C2" s="510"/>
      <c r="D2" s="510"/>
      <c r="E2" s="510"/>
      <c r="F2" s="510"/>
    </row>
    <row r="3" spans="1:7" ht="50.25" customHeight="1">
      <c r="A3" s="173"/>
      <c r="B3" s="511" t="s">
        <v>372</v>
      </c>
      <c r="C3" s="511"/>
      <c r="D3" s="511"/>
      <c r="E3" s="511"/>
      <c r="F3" s="511"/>
      <c r="G3" s="332"/>
    </row>
    <row r="4" spans="1:7" ht="30" customHeight="1">
      <c r="A4" s="333" t="s">
        <v>35</v>
      </c>
      <c r="B4" s="333" t="s">
        <v>36</v>
      </c>
      <c r="C4" s="333" t="s">
        <v>37</v>
      </c>
      <c r="D4" s="333" t="s">
        <v>5</v>
      </c>
      <c r="E4" s="333" t="s">
        <v>38</v>
      </c>
      <c r="F4" s="163" t="s">
        <v>39</v>
      </c>
      <c r="G4" s="180"/>
    </row>
    <row r="5" spans="1:7" ht="114.75">
      <c r="A5" s="333" t="s">
        <v>373</v>
      </c>
      <c r="B5" s="164" t="s">
        <v>374</v>
      </c>
      <c r="C5" s="171">
        <f>[26]Sheet1!G8</f>
        <v>134.62</v>
      </c>
      <c r="D5" s="171" t="s">
        <v>94</v>
      </c>
      <c r="E5" s="171">
        <v>151.82</v>
      </c>
      <c r="F5" s="166">
        <f>ROUND(C5*E5,2)</f>
        <v>20438.009999999998</v>
      </c>
      <c r="G5" s="180"/>
    </row>
    <row r="6" spans="1:7">
      <c r="A6" s="333" t="s">
        <v>375</v>
      </c>
      <c r="B6" s="334" t="s">
        <v>376</v>
      </c>
      <c r="C6" s="171">
        <f>[26]Sheet1!G13</f>
        <v>57.07</v>
      </c>
      <c r="D6" s="171" t="s">
        <v>94</v>
      </c>
      <c r="E6" s="335">
        <v>347.85</v>
      </c>
      <c r="F6" s="166">
        <f t="shared" ref="F6:F15" si="0">ROUND(C6*E6,2)</f>
        <v>19851.8</v>
      </c>
      <c r="G6" s="180"/>
    </row>
    <row r="7" spans="1:7">
      <c r="A7" s="333" t="s">
        <v>377</v>
      </c>
      <c r="B7" s="164" t="s">
        <v>329</v>
      </c>
      <c r="C7" s="170">
        <f>[26]Sheet1!G18</f>
        <v>95.11</v>
      </c>
      <c r="D7" s="171" t="s">
        <v>94</v>
      </c>
      <c r="E7" s="336">
        <v>1756.4</v>
      </c>
      <c r="F7" s="166">
        <f t="shared" si="0"/>
        <v>167051.20000000001</v>
      </c>
      <c r="G7" s="180"/>
    </row>
    <row r="8" spans="1:7" ht="76.5">
      <c r="A8" s="333" t="s">
        <v>378</v>
      </c>
      <c r="B8" s="164" t="s">
        <v>379</v>
      </c>
      <c r="C8" s="170">
        <f>[26]Sheet1!G22</f>
        <v>87.800000000000011</v>
      </c>
      <c r="D8" s="171" t="s">
        <v>94</v>
      </c>
      <c r="E8" s="170">
        <v>4961.7299999999996</v>
      </c>
      <c r="F8" s="166">
        <f t="shared" si="0"/>
        <v>435639.89</v>
      </c>
      <c r="G8" s="180"/>
    </row>
    <row r="9" spans="1:7" ht="51">
      <c r="A9" s="333" t="s">
        <v>380</v>
      </c>
      <c r="B9" s="164" t="s">
        <v>381</v>
      </c>
      <c r="C9" s="170">
        <f>[26]Sheet1!G27</f>
        <v>57.629999999999995</v>
      </c>
      <c r="D9" s="171" t="s">
        <v>172</v>
      </c>
      <c r="E9" s="170">
        <v>194.5</v>
      </c>
      <c r="F9" s="166">
        <f t="shared" si="0"/>
        <v>11209.04</v>
      </c>
      <c r="G9" s="180"/>
    </row>
    <row r="10" spans="1:7" ht="15.75">
      <c r="A10" s="333">
        <v>6</v>
      </c>
      <c r="B10" s="337" t="s">
        <v>144</v>
      </c>
      <c r="C10" s="171"/>
      <c r="D10" s="171"/>
      <c r="E10" s="171"/>
      <c r="F10" s="166"/>
      <c r="G10" s="180"/>
    </row>
    <row r="11" spans="1:7" ht="15.75">
      <c r="A11" s="338" t="s">
        <v>13</v>
      </c>
      <c r="B11" s="285" t="s">
        <v>382</v>
      </c>
      <c r="C11" s="171">
        <f>[26]Sheet2!F7</f>
        <v>37.68</v>
      </c>
      <c r="D11" s="339" t="s">
        <v>383</v>
      </c>
      <c r="E11" s="187">
        <v>848.82</v>
      </c>
      <c r="F11" s="166">
        <f t="shared" si="0"/>
        <v>31983.54</v>
      </c>
      <c r="G11" s="180"/>
    </row>
    <row r="12" spans="1:7" ht="15.75">
      <c r="A12" s="281" t="s">
        <v>16</v>
      </c>
      <c r="B12" s="285" t="s">
        <v>384</v>
      </c>
      <c r="C12" s="171">
        <f>[26]Sheet2!E7</f>
        <v>57.07</v>
      </c>
      <c r="D12" s="339" t="s">
        <v>383</v>
      </c>
      <c r="E12" s="187">
        <v>328.02</v>
      </c>
      <c r="F12" s="166">
        <f t="shared" si="0"/>
        <v>18720.099999999999</v>
      </c>
      <c r="G12" s="180"/>
    </row>
    <row r="13" spans="1:7" ht="15.75">
      <c r="A13" s="281" t="s">
        <v>18</v>
      </c>
      <c r="B13" s="285" t="s">
        <v>385</v>
      </c>
      <c r="C13" s="171">
        <f>[26]Sheet2!H7</f>
        <v>95.11</v>
      </c>
      <c r="D13" s="339" t="s">
        <v>383</v>
      </c>
      <c r="E13" s="187">
        <v>679.66</v>
      </c>
      <c r="F13" s="166">
        <f t="shared" si="0"/>
        <v>64642.46</v>
      </c>
      <c r="G13" s="180"/>
    </row>
    <row r="14" spans="1:7" ht="15.75">
      <c r="A14" s="281" t="s">
        <v>20</v>
      </c>
      <c r="B14" s="285" t="s">
        <v>386</v>
      </c>
      <c r="C14" s="171">
        <f>[26]Sheet2!G7</f>
        <v>75.36</v>
      </c>
      <c r="D14" s="339" t="s">
        <v>383</v>
      </c>
      <c r="E14" s="187">
        <v>447.06</v>
      </c>
      <c r="F14" s="166">
        <f t="shared" si="0"/>
        <v>33690.44</v>
      </c>
      <c r="G14" s="180"/>
    </row>
    <row r="15" spans="1:7" ht="15.75">
      <c r="A15" s="281" t="s">
        <v>22</v>
      </c>
      <c r="B15" s="285" t="s">
        <v>23</v>
      </c>
      <c r="C15" s="171">
        <f>[26]Sheet2!I7</f>
        <v>134.62</v>
      </c>
      <c r="D15" s="339" t="s">
        <v>383</v>
      </c>
      <c r="E15" s="187">
        <v>117.54</v>
      </c>
      <c r="F15" s="166">
        <f t="shared" si="0"/>
        <v>15823.23</v>
      </c>
    </row>
    <row r="16" spans="1:7" ht="12.75">
      <c r="A16" s="173"/>
      <c r="B16" s="505" t="s">
        <v>24</v>
      </c>
      <c r="C16" s="506"/>
      <c r="D16" s="506"/>
      <c r="E16" s="507"/>
      <c r="F16" s="340">
        <f>SUM(F5:F15)</f>
        <v>819049.71</v>
      </c>
    </row>
    <row r="17" spans="1:6" ht="12.75">
      <c r="A17" s="173"/>
      <c r="B17" s="502" t="s">
        <v>387</v>
      </c>
      <c r="C17" s="503"/>
      <c r="D17" s="503"/>
      <c r="E17" s="504"/>
      <c r="F17" s="340">
        <f>F16*18%</f>
        <v>147428.94779999999</v>
      </c>
    </row>
    <row r="18" spans="1:6" ht="12.75">
      <c r="A18" s="173"/>
      <c r="B18" s="505" t="s">
        <v>321</v>
      </c>
      <c r="C18" s="506"/>
      <c r="D18" s="506"/>
      <c r="E18" s="507"/>
      <c r="F18" s="340">
        <f>SUM(F16:F17)</f>
        <v>966478.65779999993</v>
      </c>
    </row>
    <row r="19" spans="1:6" ht="12.75">
      <c r="A19" s="173"/>
      <c r="B19" s="502" t="s">
        <v>388</v>
      </c>
      <c r="C19" s="503"/>
      <c r="D19" s="503"/>
      <c r="E19" s="504"/>
      <c r="F19" s="340">
        <f>ROUND(F18*1/100,2)</f>
        <v>9664.7900000000009</v>
      </c>
    </row>
    <row r="20" spans="1:6" ht="15">
      <c r="B20" s="505" t="s">
        <v>321</v>
      </c>
      <c r="C20" s="506"/>
      <c r="D20" s="506"/>
      <c r="E20" s="507"/>
      <c r="F20" s="342">
        <f>SUM(F18:F19)</f>
        <v>976143.44779999997</v>
      </c>
    </row>
    <row r="21" spans="1:6" ht="63.75" customHeight="1">
      <c r="A21" s="508"/>
      <c r="B21" s="508"/>
      <c r="C21" s="508"/>
      <c r="D21" s="508"/>
      <c r="E21" s="508"/>
      <c r="F21" s="508"/>
    </row>
  </sheetData>
  <mergeCells count="9">
    <mergeCell ref="B19:E19"/>
    <mergeCell ref="B20:E20"/>
    <mergeCell ref="A21:F21"/>
    <mergeCell ref="B1:F1"/>
    <mergeCell ref="B2:F2"/>
    <mergeCell ref="B3:F3"/>
    <mergeCell ref="B16:E16"/>
    <mergeCell ref="B17:E17"/>
    <mergeCell ref="B18:E18"/>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RowHeight="15"/>
  <cols>
    <col min="1" max="1" width="9" bestFit="1" customWidth="1"/>
    <col min="2" max="2" width="62.28515625" customWidth="1"/>
    <col min="3" max="3" width="9.7109375" bestFit="1" customWidth="1"/>
    <col min="5" max="5" width="9.28515625" customWidth="1"/>
    <col min="6" max="6" width="17.28515625" style="20" bestFit="1" customWidth="1"/>
  </cols>
  <sheetData>
    <row r="1" spans="1:6" ht="23.25">
      <c r="A1" s="437" t="s">
        <v>0</v>
      </c>
      <c r="B1" s="438"/>
      <c r="C1" s="438"/>
      <c r="D1" s="438"/>
      <c r="E1" s="438"/>
      <c r="F1" s="439"/>
    </row>
    <row r="2" spans="1:6" ht="18" customHeight="1">
      <c r="A2" s="427" t="s">
        <v>1</v>
      </c>
      <c r="B2" s="428"/>
      <c r="C2" s="428"/>
      <c r="D2" s="428"/>
      <c r="E2" s="428"/>
      <c r="F2" s="429"/>
    </row>
    <row r="3" spans="1:6" ht="33.75" customHeight="1">
      <c r="A3" s="512" t="str">
        <f>[27]ESTIMATE!A2</f>
        <v>Name of Work :-CONSTRUCTION OF PCC ROAD AT ILAHI NAGAR FROM HOUSE OF RAJA JEE TO P.C.C MAIN ROAD UNDER WARD NO-35</v>
      </c>
      <c r="B3" s="513"/>
      <c r="C3" s="513"/>
      <c r="D3" s="513"/>
      <c r="E3" s="513"/>
      <c r="F3" s="514"/>
    </row>
    <row r="4" spans="1:6" ht="31.5">
      <c r="A4" s="110" t="s">
        <v>2</v>
      </c>
      <c r="B4" s="111" t="s">
        <v>3</v>
      </c>
      <c r="C4" s="111" t="s">
        <v>4</v>
      </c>
      <c r="D4" s="111" t="s">
        <v>5</v>
      </c>
      <c r="E4" s="110" t="s">
        <v>6</v>
      </c>
      <c r="F4" s="228" t="s">
        <v>7</v>
      </c>
    </row>
    <row r="5" spans="1:6" ht="15.75">
      <c r="A5" s="110">
        <f>[27]ESTIMATE!A4</f>
        <v>1</v>
      </c>
      <c r="B5" s="117" t="str">
        <f>[27]ESTIMATE!B4</f>
        <v>Labour for site clearence before and after the work etc.</v>
      </c>
      <c r="C5" s="114">
        <f>[27]ESTIMATE!G4</f>
        <v>2</v>
      </c>
      <c r="D5" s="115" t="s">
        <v>15</v>
      </c>
      <c r="E5" s="114">
        <f>[27]ESTIMATE!I4</f>
        <v>326.85000000000002</v>
      </c>
      <c r="F5" s="227">
        <f t="shared" ref="F5:F10" si="0">ROUND(C5*E5,2)</f>
        <v>653.70000000000005</v>
      </c>
    </row>
    <row r="6" spans="1:6" ht="90">
      <c r="A6" s="110" t="str">
        <f>[27]ESTIMATE!A5</f>
        <v>2       5.1.1.</v>
      </c>
      <c r="B6" s="117" t="s">
        <v>9</v>
      </c>
      <c r="C6" s="114">
        <f>[27]ESTIMATE!G8</f>
        <v>66.41</v>
      </c>
      <c r="D6" s="115" t="s">
        <v>15</v>
      </c>
      <c r="E6" s="114">
        <f>[27]ESTIMATE!I8</f>
        <v>151.82</v>
      </c>
      <c r="F6" s="227">
        <f t="shared" si="0"/>
        <v>10082.370000000001</v>
      </c>
    </row>
    <row r="7" spans="1:6" ht="90">
      <c r="A7" s="110" t="str">
        <f>[27]ESTIMATE!A9</f>
        <v>3.           M-004</v>
      </c>
      <c r="B7" s="117" t="s">
        <v>46</v>
      </c>
      <c r="C7" s="114">
        <f>[27]ESTIMATE!G12</f>
        <v>24.78</v>
      </c>
      <c r="D7" s="115" t="s">
        <v>15</v>
      </c>
      <c r="E7" s="114">
        <f>[27]ESTIMATE!I12</f>
        <v>347.85</v>
      </c>
      <c r="F7" s="227">
        <f t="shared" si="0"/>
        <v>8619.7199999999993</v>
      </c>
    </row>
    <row r="8" spans="1:6" ht="66.599999999999994" customHeight="1">
      <c r="A8" s="110" t="str">
        <f>[27]ESTIMATE!A13</f>
        <v>4.       5.6.8 (C.I.W.)</v>
      </c>
      <c r="B8" s="117" t="s">
        <v>48</v>
      </c>
      <c r="C8" s="114">
        <f>[27]ESTIMATE!G16</f>
        <v>41.63</v>
      </c>
      <c r="D8" s="115" t="s">
        <v>15</v>
      </c>
      <c r="E8" s="114">
        <f>[27]ESTIMATE!I16</f>
        <v>1756.4</v>
      </c>
      <c r="F8" s="227">
        <f t="shared" si="0"/>
        <v>73118.929999999993</v>
      </c>
    </row>
    <row r="9" spans="1:6" ht="65.099999999999994" customHeight="1">
      <c r="A9" s="110" t="str">
        <f>[27]ESTIMATE!A17</f>
        <v>5.     5.3.1.1</v>
      </c>
      <c r="B9" s="118" t="s">
        <v>68</v>
      </c>
      <c r="C9" s="114">
        <f>[27]ESTIMATE!G20</f>
        <v>49.56</v>
      </c>
      <c r="D9" s="115" t="s">
        <v>15</v>
      </c>
      <c r="E9" s="114">
        <f>[27]ESTIMATE!I20</f>
        <v>4961.7299999999996</v>
      </c>
      <c r="F9" s="227">
        <f t="shared" si="0"/>
        <v>245903.34</v>
      </c>
    </row>
    <row r="10" spans="1:6" ht="45.95" customHeight="1">
      <c r="A10" s="110" t="str">
        <f>[27]ESTIMATE!A21</f>
        <v>6               5.3.17.1</v>
      </c>
      <c r="B10" s="117" t="s">
        <v>57</v>
      </c>
      <c r="C10" s="114">
        <f>[27]ESTIMATE!G24</f>
        <v>32.53</v>
      </c>
      <c r="D10" s="119" t="s">
        <v>11</v>
      </c>
      <c r="E10" s="110">
        <f>[27]ESTIMATE!I24</f>
        <v>194.5</v>
      </c>
      <c r="F10" s="228">
        <f t="shared" si="0"/>
        <v>6327.09</v>
      </c>
    </row>
    <row r="11" spans="1:6" ht="15.75">
      <c r="A11" s="110">
        <f>[27]ESTIMATE!A25</f>
        <v>7</v>
      </c>
      <c r="B11" s="120" t="s">
        <v>12</v>
      </c>
      <c r="C11" s="115"/>
      <c r="D11" s="121"/>
      <c r="E11" s="122"/>
      <c r="F11" s="227"/>
    </row>
    <row r="12" spans="1:6" ht="15.75">
      <c r="A12" s="123" t="s">
        <v>13</v>
      </c>
      <c r="B12" s="124" t="str">
        <f>[27]ESTIMATE!B26</f>
        <v>SAND-LEAD-49KM</v>
      </c>
      <c r="C12" s="115">
        <f>PRODUCT('[27]MATERIAL '!F7)</f>
        <v>21.31</v>
      </c>
      <c r="D12" s="121" t="s">
        <v>15</v>
      </c>
      <c r="E12" s="1">
        <f>[27]ESTIMATE!I26</f>
        <v>848.82</v>
      </c>
      <c r="F12" s="227">
        <f t="shared" ref="F12:F16" si="1">ROUND(C12*E12,2)</f>
        <v>18088.349999999999</v>
      </c>
    </row>
    <row r="13" spans="1:6" ht="15.75">
      <c r="A13" s="123" t="s">
        <v>16</v>
      </c>
      <c r="B13" s="125" t="str">
        <f>[27]ESTIMATE!B27</f>
        <v>STONE DUST-LEAD-22KM</v>
      </c>
      <c r="C13" s="115">
        <f>PRODUCT('[27]MATERIAL '!G7)</f>
        <v>24.78</v>
      </c>
      <c r="D13" s="121" t="s">
        <v>15</v>
      </c>
      <c r="E13" s="34">
        <f>[27]ESTIMATE!I27</f>
        <v>477.38</v>
      </c>
      <c r="F13" s="227">
        <f t="shared" si="1"/>
        <v>11829.48</v>
      </c>
    </row>
    <row r="14" spans="1:6" ht="15.75">
      <c r="A14" s="123" t="s">
        <v>18</v>
      </c>
      <c r="B14" s="125" t="str">
        <f>[27]ESTIMATE!B28</f>
        <v>STONE CHIPS-LEAD-22KM</v>
      </c>
      <c r="C14" s="115">
        <f>PRODUCT('[27]MATERIAL '!H7)</f>
        <v>42.62</v>
      </c>
      <c r="D14" s="121" t="s">
        <v>15</v>
      </c>
      <c r="E14" s="34">
        <f>[27]ESTIMATE!I28</f>
        <v>477.38</v>
      </c>
      <c r="F14" s="227">
        <f t="shared" si="1"/>
        <v>20345.939999999999</v>
      </c>
    </row>
    <row r="15" spans="1:6" ht="15.75">
      <c r="A15" s="123" t="s">
        <v>20</v>
      </c>
      <c r="B15" s="125" t="str">
        <f>[27]ESTIMATE!B29</f>
        <v>BOULDER-LEAD-36KM</v>
      </c>
      <c r="C15" s="115">
        <f>PRODUCT('[27]MATERIAL '!I7)</f>
        <v>41.63</v>
      </c>
      <c r="D15" s="121" t="s">
        <v>15</v>
      </c>
      <c r="E15" s="1">
        <f>[27]ESTIMATE!I29</f>
        <v>679.66</v>
      </c>
      <c r="F15" s="227">
        <f t="shared" si="1"/>
        <v>28294.25</v>
      </c>
    </row>
    <row r="16" spans="1:6" ht="15.75">
      <c r="A16" s="123" t="s">
        <v>22</v>
      </c>
      <c r="B16" s="117" t="str">
        <f>[27]ESTIMATE!B30</f>
        <v>EARTH-LEAD-01km</v>
      </c>
      <c r="C16" s="115">
        <f>PRODUCT('[27]MATERIAL '!J7)</f>
        <v>66.41</v>
      </c>
      <c r="D16" s="121" t="s">
        <v>15</v>
      </c>
      <c r="E16" s="34">
        <f>[27]ESTIMATE!I30</f>
        <v>117.54</v>
      </c>
      <c r="F16" s="227">
        <f t="shared" si="1"/>
        <v>7805.83</v>
      </c>
    </row>
    <row r="17" spans="1:6" ht="15.75">
      <c r="A17" s="126"/>
      <c r="B17" s="126"/>
      <c r="C17" s="498" t="s">
        <v>24</v>
      </c>
      <c r="D17" s="498"/>
      <c r="E17" s="499"/>
      <c r="F17" s="227">
        <f>SUM(F5:F16)</f>
        <v>431069</v>
      </c>
    </row>
    <row r="18" spans="1:6" ht="15.75">
      <c r="A18" s="126"/>
      <c r="B18" s="126"/>
      <c r="C18" s="501" t="s">
        <v>25</v>
      </c>
      <c r="D18" s="498"/>
      <c r="E18" s="499"/>
      <c r="F18" s="227">
        <f>F17*18%</f>
        <v>77592.42</v>
      </c>
    </row>
    <row r="19" spans="1:6" ht="15.75">
      <c r="A19" s="126"/>
      <c r="B19" s="126"/>
      <c r="C19" s="501" t="s">
        <v>24</v>
      </c>
      <c r="D19" s="498"/>
      <c r="E19" s="499"/>
      <c r="F19" s="227">
        <f>SUM(F17:F18)</f>
        <v>508661.42</v>
      </c>
    </row>
    <row r="20" spans="1:6" ht="15.75">
      <c r="A20" s="126"/>
      <c r="B20" s="126"/>
      <c r="C20" s="498" t="s">
        <v>26</v>
      </c>
      <c r="D20" s="498"/>
      <c r="E20" s="499"/>
      <c r="F20" s="227">
        <f>ROUND(F19*0.01,2)</f>
        <v>5086.6099999999997</v>
      </c>
    </row>
    <row r="21" spans="1:6" ht="15.75">
      <c r="A21" s="126"/>
      <c r="B21" s="126"/>
      <c r="C21" s="498" t="s">
        <v>24</v>
      </c>
      <c r="D21" s="498"/>
      <c r="E21" s="499"/>
      <c r="F21" s="227">
        <f>SUM(F19:F20)</f>
        <v>513748.02999999997</v>
      </c>
    </row>
    <row r="22" spans="1:6" ht="18">
      <c r="A22" s="126"/>
      <c r="B22" s="126"/>
      <c r="C22" s="498" t="s">
        <v>27</v>
      </c>
      <c r="D22" s="498"/>
      <c r="E22" s="499"/>
      <c r="F22" s="229">
        <v>513748</v>
      </c>
    </row>
    <row r="23" spans="1:6" ht="18.75">
      <c r="A23" s="16"/>
      <c r="B23" s="16"/>
      <c r="C23" s="17"/>
      <c r="D23" s="17"/>
      <c r="E23" s="17"/>
      <c r="F23" s="18"/>
    </row>
    <row r="24" spans="1:6" ht="18.75">
      <c r="A24" s="16"/>
      <c r="B24" s="16"/>
      <c r="C24" s="17"/>
      <c r="D24" s="17"/>
      <c r="E24" s="17"/>
      <c r="F24" s="18"/>
    </row>
    <row r="25" spans="1:6">
      <c r="A25" s="19"/>
    </row>
    <row r="26" spans="1:6">
      <c r="A26" s="19"/>
    </row>
    <row r="27" spans="1:6" ht="18.75">
      <c r="A27" s="19"/>
      <c r="B27" s="21"/>
      <c r="C27" s="22"/>
      <c r="F27"/>
    </row>
    <row r="28" spans="1:6" ht="18.75">
      <c r="A28" s="19"/>
      <c r="B28" s="21"/>
      <c r="C28" s="22"/>
      <c r="F28"/>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RowHeight="15"/>
  <cols>
    <col min="1" max="1" width="9" bestFit="1" customWidth="1"/>
    <col min="2" max="2" width="62.28515625" customWidth="1"/>
    <col min="3" max="3" width="9.7109375" bestFit="1" customWidth="1"/>
    <col min="4" max="4" width="7.5703125" customWidth="1"/>
    <col min="5" max="5" width="10.28515625" customWidth="1"/>
    <col min="6" max="6" width="17.28515625" style="20" bestFit="1" customWidth="1"/>
  </cols>
  <sheetData>
    <row r="1" spans="1:6" ht="23.25">
      <c r="A1" s="437" t="s">
        <v>0</v>
      </c>
      <c r="B1" s="438"/>
      <c r="C1" s="438"/>
      <c r="D1" s="438"/>
      <c r="E1" s="438"/>
      <c r="F1" s="439"/>
    </row>
    <row r="2" spans="1:6" ht="18" customHeight="1">
      <c r="A2" s="427" t="s">
        <v>1</v>
      </c>
      <c r="B2" s="428"/>
      <c r="C2" s="428"/>
      <c r="D2" s="428"/>
      <c r="E2" s="428"/>
      <c r="F2" s="429"/>
    </row>
    <row r="3" spans="1:6" ht="32.450000000000003" customHeight="1">
      <c r="A3" s="493" t="str">
        <f>[28]ESTIMATE!A2</f>
        <v>Name of Work :-CONSTRUCTION OF PCC ROAD AT( A) ILHI NAGAR HOUSE F MUSKIM JEE TO EMMAM BARA  (B)  HOUSE OF ABHALEA JEE TO HOUSE OF RAWANI JEE UNDER WARD NO-35</v>
      </c>
      <c r="B3" s="494"/>
      <c r="C3" s="494"/>
      <c r="D3" s="494"/>
      <c r="E3" s="494"/>
      <c r="F3" s="495"/>
    </row>
    <row r="4" spans="1:6" ht="31.5">
      <c r="A4" s="110" t="s">
        <v>2</v>
      </c>
      <c r="B4" s="111" t="s">
        <v>3</v>
      </c>
      <c r="C4" s="111" t="s">
        <v>4</v>
      </c>
      <c r="D4" s="111" t="s">
        <v>5</v>
      </c>
      <c r="E4" s="110" t="s">
        <v>6</v>
      </c>
      <c r="F4" s="112" t="s">
        <v>7</v>
      </c>
    </row>
    <row r="5" spans="1:6" ht="15.75">
      <c r="A5" s="110">
        <f>[28]ESTIMATE!A4</f>
        <v>1</v>
      </c>
      <c r="B5" s="117" t="str">
        <f>[28]ESTIMATE!B4</f>
        <v>Labour for site clearence before and after the work etc.</v>
      </c>
      <c r="C5" s="114">
        <f>[28]ESTIMATE!G4</f>
        <v>4</v>
      </c>
      <c r="D5" s="115" t="s">
        <v>15</v>
      </c>
      <c r="E5" s="114">
        <f>[28]ESTIMATE!I4</f>
        <v>326.85000000000002</v>
      </c>
      <c r="F5" s="227">
        <f t="shared" ref="F5:F10" si="0">ROUND(C5*E5,2)</f>
        <v>1307.4000000000001</v>
      </c>
    </row>
    <row r="6" spans="1:6" ht="90">
      <c r="A6" s="110" t="str">
        <f>[28]ESTIMATE!A5</f>
        <v>2       5.1.1.</v>
      </c>
      <c r="B6" s="117" t="s">
        <v>9</v>
      </c>
      <c r="C6" s="114">
        <f>[28]ESTIMATE!G8</f>
        <v>75.900000000000006</v>
      </c>
      <c r="D6" s="115" t="s">
        <v>15</v>
      </c>
      <c r="E6" s="114">
        <f>[28]ESTIMATE!I8</f>
        <v>151.82</v>
      </c>
      <c r="F6" s="227">
        <f t="shared" si="0"/>
        <v>11523.14</v>
      </c>
    </row>
    <row r="7" spans="1:6" ht="90">
      <c r="A7" s="110" t="str">
        <f>[28]ESTIMATE!A9</f>
        <v>3.           M-004</v>
      </c>
      <c r="B7" s="117" t="s">
        <v>46</v>
      </c>
      <c r="C7" s="114">
        <f>[28]ESTIMATE!G12</f>
        <v>28.32</v>
      </c>
      <c r="D7" s="115" t="s">
        <v>15</v>
      </c>
      <c r="E7" s="114">
        <f>[28]ESTIMATE!I12</f>
        <v>347.85</v>
      </c>
      <c r="F7" s="227">
        <f t="shared" si="0"/>
        <v>9851.11</v>
      </c>
    </row>
    <row r="8" spans="1:6" ht="66.599999999999994" customHeight="1">
      <c r="A8" s="110" t="str">
        <f>[28]ESTIMATE!A13</f>
        <v>4.       5.6.8 (C.I.W.)</v>
      </c>
      <c r="B8" s="117" t="s">
        <v>48</v>
      </c>
      <c r="C8" s="114">
        <f>[28]ESTIMATE!G16</f>
        <v>47.58</v>
      </c>
      <c r="D8" s="115" t="s">
        <v>15</v>
      </c>
      <c r="E8" s="114">
        <f>[28]ESTIMATE!I16</f>
        <v>1756.4</v>
      </c>
      <c r="F8" s="227">
        <f t="shared" si="0"/>
        <v>83569.509999999995</v>
      </c>
    </row>
    <row r="9" spans="1:6" ht="65.099999999999994" customHeight="1">
      <c r="A9" s="110" t="str">
        <f>[28]ESTIMATE!A17</f>
        <v>5.     5.3.1.1</v>
      </c>
      <c r="B9" s="118" t="s">
        <v>68</v>
      </c>
      <c r="C9" s="114">
        <f>[28]ESTIMATE!G20</f>
        <v>56.64</v>
      </c>
      <c r="D9" s="115" t="s">
        <v>15</v>
      </c>
      <c r="E9" s="114">
        <f>[28]ESTIMATE!I20</f>
        <v>4961.7299999999996</v>
      </c>
      <c r="F9" s="227">
        <f t="shared" si="0"/>
        <v>281032.39</v>
      </c>
    </row>
    <row r="10" spans="1:6" ht="45.95" customHeight="1">
      <c r="A10" s="110" t="str">
        <f>[28]ESTIMATE!A21</f>
        <v>6               5.3.17.1</v>
      </c>
      <c r="B10" s="117" t="s">
        <v>57</v>
      </c>
      <c r="C10" s="114">
        <f>[28]ESTIMATE!G24</f>
        <v>37.17</v>
      </c>
      <c r="D10" s="119" t="s">
        <v>11</v>
      </c>
      <c r="E10" s="110">
        <f>[28]ESTIMATE!I24</f>
        <v>194.5</v>
      </c>
      <c r="F10" s="228">
        <f t="shared" si="0"/>
        <v>7229.57</v>
      </c>
    </row>
    <row r="11" spans="1:6" ht="15.75">
      <c r="A11" s="110">
        <f>[28]ESTIMATE!A25</f>
        <v>7</v>
      </c>
      <c r="B11" s="120" t="s">
        <v>12</v>
      </c>
      <c r="C11" s="115"/>
      <c r="D11" s="121"/>
      <c r="E11" s="122"/>
      <c r="F11" s="227"/>
    </row>
    <row r="12" spans="1:6" ht="15.75">
      <c r="A12" s="123" t="s">
        <v>13</v>
      </c>
      <c r="B12" s="124" t="str">
        <f>[28]ESTIMATE!B26</f>
        <v>SAND-LEAD-49KM</v>
      </c>
      <c r="C12" s="115">
        <f>PRODUCT('[28]MATERIAL '!F7)</f>
        <v>24.36</v>
      </c>
      <c r="D12" s="121" t="s">
        <v>15</v>
      </c>
      <c r="E12" s="1">
        <f>[28]ESTIMATE!I26</f>
        <v>848.82</v>
      </c>
      <c r="F12" s="227">
        <f t="shared" ref="F12:F16" si="1">ROUND(C12*E12,2)</f>
        <v>20677.259999999998</v>
      </c>
    </row>
    <row r="13" spans="1:6" ht="15.75">
      <c r="A13" s="123" t="s">
        <v>16</v>
      </c>
      <c r="B13" s="125" t="str">
        <f>[28]ESTIMATE!B27</f>
        <v>STONE DUST-LEAD-22KM</v>
      </c>
      <c r="C13" s="115">
        <f>PRODUCT('[28]MATERIAL '!G7)</f>
        <v>28.32</v>
      </c>
      <c r="D13" s="121" t="s">
        <v>15</v>
      </c>
      <c r="E13" s="34">
        <f>[28]ESTIMATE!I27</f>
        <v>477.38</v>
      </c>
      <c r="F13" s="227">
        <f t="shared" si="1"/>
        <v>13519.4</v>
      </c>
    </row>
    <row r="14" spans="1:6" ht="15.75">
      <c r="A14" s="123" t="s">
        <v>18</v>
      </c>
      <c r="B14" s="125" t="str">
        <f>[28]ESTIMATE!B28</f>
        <v>STONE CHIPS-LEAD-22KM</v>
      </c>
      <c r="C14" s="115">
        <f>PRODUCT('[28]MATERIAL '!H7)</f>
        <v>48.71</v>
      </c>
      <c r="D14" s="121" t="s">
        <v>15</v>
      </c>
      <c r="E14" s="34">
        <f>[28]ESTIMATE!I28</f>
        <v>477.38</v>
      </c>
      <c r="F14" s="227">
        <f t="shared" si="1"/>
        <v>23253.18</v>
      </c>
    </row>
    <row r="15" spans="1:6" ht="15.75">
      <c r="A15" s="123" t="s">
        <v>20</v>
      </c>
      <c r="B15" s="125" t="str">
        <f>[28]ESTIMATE!B29</f>
        <v>BOULDER-LEAD-36KM</v>
      </c>
      <c r="C15" s="115">
        <f>PRODUCT('[28]MATERIAL '!I7)</f>
        <v>47.58</v>
      </c>
      <c r="D15" s="121" t="s">
        <v>15</v>
      </c>
      <c r="E15" s="1">
        <f>[28]ESTIMATE!I29</f>
        <v>679.66</v>
      </c>
      <c r="F15" s="227">
        <f t="shared" si="1"/>
        <v>32338.22</v>
      </c>
    </row>
    <row r="16" spans="1:6" ht="15.75">
      <c r="A16" s="123" t="s">
        <v>22</v>
      </c>
      <c r="B16" s="117" t="str">
        <f>[28]ESTIMATE!B30</f>
        <v>EARTH-LEAD-01km</v>
      </c>
      <c r="C16" s="115">
        <f>PRODUCT('[28]MATERIAL '!J7)</f>
        <v>75.900000000000006</v>
      </c>
      <c r="D16" s="121" t="s">
        <v>15</v>
      </c>
      <c r="E16" s="34">
        <f>[28]ESTIMATE!I30</f>
        <v>117.54</v>
      </c>
      <c r="F16" s="227">
        <f t="shared" si="1"/>
        <v>8921.2900000000009</v>
      </c>
    </row>
    <row r="17" spans="1:6" ht="15.75">
      <c r="A17" s="126"/>
      <c r="B17" s="126"/>
      <c r="C17" s="498" t="s">
        <v>24</v>
      </c>
      <c r="D17" s="498"/>
      <c r="E17" s="499"/>
      <c r="F17" s="227">
        <f>SUM(F5:F16)</f>
        <v>493222.47000000003</v>
      </c>
    </row>
    <row r="18" spans="1:6" ht="15.75">
      <c r="A18" s="126"/>
      <c r="B18" s="126"/>
      <c r="C18" s="501" t="s">
        <v>25</v>
      </c>
      <c r="D18" s="498"/>
      <c r="E18" s="499"/>
      <c r="F18" s="114">
        <f>F17*18%</f>
        <v>88780.044600000008</v>
      </c>
    </row>
    <row r="19" spans="1:6" ht="15.75">
      <c r="A19" s="126"/>
      <c r="B19" s="126"/>
      <c r="C19" s="501" t="s">
        <v>24</v>
      </c>
      <c r="D19" s="498"/>
      <c r="E19" s="499"/>
      <c r="F19" s="114">
        <f>SUM(F17:F18)</f>
        <v>582002.51459999999</v>
      </c>
    </row>
    <row r="20" spans="1:6" ht="15.75">
      <c r="A20" s="126"/>
      <c r="B20" s="126"/>
      <c r="C20" s="498" t="s">
        <v>26</v>
      </c>
      <c r="D20" s="498"/>
      <c r="E20" s="499"/>
      <c r="F20" s="227">
        <f>ROUND(F19*0.01,2)</f>
        <v>5820.03</v>
      </c>
    </row>
    <row r="21" spans="1:6" ht="15.75">
      <c r="A21" s="126"/>
      <c r="B21" s="126"/>
      <c r="C21" s="498" t="s">
        <v>24</v>
      </c>
      <c r="D21" s="498"/>
      <c r="E21" s="499"/>
      <c r="F21" s="114">
        <f>SUM(F19:F20)</f>
        <v>587822.54460000002</v>
      </c>
    </row>
    <row r="22" spans="1:6" ht="18">
      <c r="A22" s="126"/>
      <c r="B22" s="126"/>
      <c r="C22" s="498" t="s">
        <v>27</v>
      </c>
      <c r="D22" s="498"/>
      <c r="E22" s="499"/>
      <c r="F22" s="229">
        <v>587823</v>
      </c>
    </row>
    <row r="23" spans="1:6" ht="18.75">
      <c r="A23" s="16"/>
      <c r="B23" s="16"/>
      <c r="C23" s="17"/>
      <c r="D23" s="17"/>
      <c r="E23" s="17"/>
      <c r="F23" s="18"/>
    </row>
    <row r="24" spans="1:6" ht="18.75">
      <c r="A24" s="16"/>
      <c r="B24" s="16"/>
      <c r="C24" s="17"/>
      <c r="D24" s="17"/>
      <c r="E24" s="17"/>
      <c r="F24" s="18"/>
    </row>
    <row r="25" spans="1:6">
      <c r="A25" s="19"/>
    </row>
    <row r="26" spans="1:6">
      <c r="A26" s="19"/>
    </row>
    <row r="27" spans="1:6">
      <c r="F27"/>
    </row>
    <row r="28" spans="1:6">
      <c r="F28"/>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9"/>
  <sheetViews>
    <sheetView workbookViewId="0">
      <selection activeCell="A3" sqref="A3:F3"/>
    </sheetView>
  </sheetViews>
  <sheetFormatPr defaultColWidth="9.140625" defaultRowHeight="15"/>
  <cols>
    <col min="1" max="1" width="9.28515625" style="30" bestFit="1" customWidth="1"/>
    <col min="2" max="2" width="42.28515625" style="31" customWidth="1"/>
    <col min="3" max="3" width="9.140625" style="23" customWidth="1"/>
    <col min="4" max="4" width="5.28515625" style="32" bestFit="1" customWidth="1"/>
    <col min="5" max="5" width="11.28515625" style="297" bestFit="1" customWidth="1"/>
    <col min="6" max="6" width="18.5703125" style="297" bestFit="1" customWidth="1"/>
    <col min="7" max="16384" width="9.140625" style="23"/>
  </cols>
  <sheetData>
    <row r="1" spans="1:6" ht="60.75" customHeight="1">
      <c r="A1" s="379" t="s">
        <v>0</v>
      </c>
      <c r="B1" s="379"/>
      <c r="C1" s="379"/>
      <c r="D1" s="379"/>
      <c r="E1" s="379"/>
      <c r="F1" s="379"/>
    </row>
    <row r="2" spans="1:6" ht="18.75">
      <c r="A2" s="380" t="s">
        <v>33</v>
      </c>
      <c r="B2" s="380"/>
      <c r="C2" s="380"/>
      <c r="D2" s="380"/>
      <c r="E2" s="380"/>
      <c r="F2" s="380"/>
    </row>
    <row r="3" spans="1:6" ht="55.5" customHeight="1">
      <c r="A3" s="381" t="str">
        <f>[2]Drain!A3</f>
        <v>Name of Work :-Construction of RCC Slab in open Drain at Kokar,Khorhatoli from DON Bosco gate to Mission colony under ward no-07</v>
      </c>
      <c r="B3" s="381"/>
      <c r="C3" s="381"/>
      <c r="D3" s="381"/>
      <c r="E3" s="381"/>
      <c r="F3" s="381"/>
    </row>
    <row r="4" spans="1:6" ht="28.5">
      <c r="A4" s="24" t="s">
        <v>35</v>
      </c>
      <c r="B4" s="24" t="s">
        <v>36</v>
      </c>
      <c r="C4" s="24" t="s">
        <v>37</v>
      </c>
      <c r="D4" s="24" t="s">
        <v>5</v>
      </c>
      <c r="E4" s="294" t="s">
        <v>38</v>
      </c>
      <c r="F4" s="294" t="s">
        <v>39</v>
      </c>
    </row>
    <row r="5" spans="1:6" ht="30">
      <c r="A5" s="131">
        <f>[2]Drain!A5</f>
        <v>1</v>
      </c>
      <c r="B5" s="26" t="str">
        <f>[2]Drain!B5</f>
        <v>Providing labour for cleaning the site before and after the work.</v>
      </c>
      <c r="C5" s="134">
        <f>[2]Drain!G8</f>
        <v>10</v>
      </c>
      <c r="D5" s="25" t="str">
        <f>D12</f>
        <v>M3</v>
      </c>
      <c r="E5" s="295">
        <f>[2]Drain!I8</f>
        <v>326.85000000000002</v>
      </c>
      <c r="F5" s="295">
        <f>ROUND((C5*E5),2)</f>
        <v>3268.5</v>
      </c>
    </row>
    <row r="6" spans="1:6" ht="105">
      <c r="A6" s="131" t="str">
        <f>[2]Drain!A9</f>
        <v>2 5.3.11</v>
      </c>
      <c r="B6" s="26" t="str">
        <f>[2]Drain!B9</f>
        <v>Renforced cement conrete work in beams, suspended floors, having slopeup to 15' landing, balconies, shelves, chajjas, lintels, bands, plain windowsill ---------do----do-------E/I1:1.5:3 (1 Cement : 1.5 coarse sand zone(III): 3 graded stone aggregate 20mm nominal size)</v>
      </c>
      <c r="C6" s="134">
        <f>[2]Drain!G12</f>
        <v>50.98</v>
      </c>
      <c r="D6" s="25" t="str">
        <f>D5</f>
        <v>M3</v>
      </c>
      <c r="E6" s="295">
        <f>[2]Drain!I12</f>
        <v>6308.87</v>
      </c>
      <c r="F6" s="295">
        <f t="shared" ref="F6:F13" si="0">ROUND((C6*E6),2)</f>
        <v>321626.19</v>
      </c>
    </row>
    <row r="7" spans="1:6" ht="135">
      <c r="A7" s="131">
        <f>[2]Drain!A13</f>
        <v>3</v>
      </c>
      <c r="B7" s="26" t="str">
        <f>[2]Drain!B13</f>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
      <c r="C7" s="134"/>
      <c r="D7" s="25"/>
      <c r="E7" s="295"/>
      <c r="F7" s="295"/>
    </row>
    <row r="8" spans="1:6">
      <c r="A8" s="131" t="str">
        <f>[2]Drain!A18</f>
        <v>(A)5.5.4</v>
      </c>
      <c r="B8" s="26" t="str">
        <f>[2]Drain!B18</f>
        <v>08mm dia 40%</v>
      </c>
      <c r="C8" s="144">
        <f>[2]Drain!G18</f>
        <v>1.62</v>
      </c>
      <c r="D8" s="25" t="str">
        <f>[2]Drain!H18</f>
        <v>M.T.</v>
      </c>
      <c r="E8" s="295">
        <f>[2]Drain!I18</f>
        <v>83314.02</v>
      </c>
      <c r="F8" s="295">
        <f t="shared" si="0"/>
        <v>134968.71</v>
      </c>
    </row>
    <row r="9" spans="1:6" ht="30">
      <c r="A9" s="131" t="str">
        <f>[2]Drain!A19</f>
        <v>(B)5.5.5(a)</v>
      </c>
      <c r="B9" s="26" t="str">
        <f>[2]Drain!B19</f>
        <v>10mm dia 60%</v>
      </c>
      <c r="C9" s="144">
        <f>[2]Drain!G19</f>
        <v>2.4300000000000002</v>
      </c>
      <c r="D9" s="25" t="str">
        <f>D8</f>
        <v>M.T.</v>
      </c>
      <c r="E9" s="295">
        <f>[2]Drain!I19</f>
        <v>82096.539999999994</v>
      </c>
      <c r="F9" s="295">
        <f t="shared" si="0"/>
        <v>199494.59</v>
      </c>
    </row>
    <row r="10" spans="1:6" ht="60">
      <c r="A10" s="131" t="str">
        <f>[2]Drain!A21</f>
        <v>45.3.17.1</v>
      </c>
      <c r="B10" s="26" t="str">
        <f>[2]Drain!B21</f>
        <v>Centering and Shuttering including strutting, propping etc and removal of from for   Foundation , footing , bases of columns etc for mass concrete.</v>
      </c>
      <c r="C10" s="134">
        <f>[2]Drain!G24</f>
        <v>111.52</v>
      </c>
      <c r="D10" s="25" t="str">
        <f>[2]Drain!H24</f>
        <v>m2</v>
      </c>
      <c r="E10" s="295">
        <f>[2]Drain!I24</f>
        <v>194.5</v>
      </c>
      <c r="F10" s="295">
        <f t="shared" si="0"/>
        <v>21690.639999999999</v>
      </c>
    </row>
    <row r="11" spans="1:6">
      <c r="A11" s="27">
        <v>5</v>
      </c>
      <c r="B11" s="28" t="s">
        <v>175</v>
      </c>
      <c r="C11" s="29"/>
      <c r="D11" s="25"/>
      <c r="E11" s="295"/>
      <c r="F11" s="295"/>
    </row>
    <row r="12" spans="1:6">
      <c r="A12" s="160" t="s">
        <v>13</v>
      </c>
      <c r="B12" s="296" t="s">
        <v>342</v>
      </c>
      <c r="C12" s="134">
        <f>[2]Drain!G26</f>
        <v>21.92</v>
      </c>
      <c r="D12" s="25" t="s">
        <v>158</v>
      </c>
      <c r="E12" s="275">
        <f>[3]Sheet1!I26</f>
        <v>848.82</v>
      </c>
      <c r="F12" s="295">
        <f t="shared" si="0"/>
        <v>18606.13</v>
      </c>
    </row>
    <row r="13" spans="1:6">
      <c r="A13" s="160" t="s">
        <v>16</v>
      </c>
      <c r="B13" s="296" t="s">
        <v>21</v>
      </c>
      <c r="C13" s="134">
        <f>[2]Drain!G27</f>
        <v>43.84</v>
      </c>
      <c r="D13" s="25" t="s">
        <v>158</v>
      </c>
      <c r="E13" s="275">
        <f>[3]Sheet1!I29</f>
        <v>447.06</v>
      </c>
      <c r="F13" s="295">
        <f t="shared" si="0"/>
        <v>19599.11</v>
      </c>
    </row>
    <row r="14" spans="1:6" ht="18.75">
      <c r="A14" s="27"/>
      <c r="B14" s="28"/>
      <c r="C14" s="29"/>
      <c r="D14" s="25"/>
      <c r="E14" s="295" t="s">
        <v>59</v>
      </c>
      <c r="F14" s="106">
        <f>SUM(F5:F13)</f>
        <v>719253.87</v>
      </c>
    </row>
    <row r="15" spans="1:6" ht="18.75">
      <c r="A15" s="378" t="s">
        <v>348</v>
      </c>
      <c r="B15" s="378"/>
      <c r="C15" s="378"/>
      <c r="D15" s="378"/>
      <c r="E15" s="378"/>
      <c r="F15" s="106">
        <f>ROUND((F14*18%),2)</f>
        <v>129465.7</v>
      </c>
    </row>
    <row r="16" spans="1:6" ht="18.75">
      <c r="A16" s="378" t="s">
        <v>24</v>
      </c>
      <c r="B16" s="378" t="s">
        <v>24</v>
      </c>
      <c r="C16" s="378"/>
      <c r="D16" s="378"/>
      <c r="E16" s="378"/>
      <c r="F16" s="106">
        <f>F14+F15</f>
        <v>848719.57</v>
      </c>
    </row>
    <row r="17" spans="1:6" ht="18.75">
      <c r="A17" s="378" t="s">
        <v>349</v>
      </c>
      <c r="B17" s="378" t="s">
        <v>350</v>
      </c>
      <c r="C17" s="378"/>
      <c r="D17" s="378"/>
      <c r="E17" s="378"/>
      <c r="F17" s="106">
        <f>ROUND((F16*1%),2)</f>
        <v>8487.2000000000007</v>
      </c>
    </row>
    <row r="18" spans="1:6" ht="18.75">
      <c r="A18" s="378" t="s">
        <v>24</v>
      </c>
      <c r="B18" s="378" t="s">
        <v>24</v>
      </c>
      <c r="C18" s="378"/>
      <c r="D18" s="378"/>
      <c r="E18" s="378"/>
      <c r="F18" s="106">
        <f>F16+F17</f>
        <v>857206.7699999999</v>
      </c>
    </row>
    <row r="19" spans="1:6" ht="18.75">
      <c r="A19" s="378" t="s">
        <v>27</v>
      </c>
      <c r="B19" s="378" t="s">
        <v>27</v>
      </c>
      <c r="C19" s="378"/>
      <c r="D19" s="378"/>
      <c r="E19" s="378"/>
      <c r="F19" s="106">
        <f>ROUND((F18),0)</f>
        <v>857207</v>
      </c>
    </row>
  </sheetData>
  <mergeCells count="8">
    <mergeCell ref="A18:E18"/>
    <mergeCell ref="A19:E19"/>
    <mergeCell ref="A1:F1"/>
    <mergeCell ref="A2:F2"/>
    <mergeCell ref="A3:F3"/>
    <mergeCell ref="A15:E15"/>
    <mergeCell ref="A16:E16"/>
    <mergeCell ref="A17:E17"/>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RowHeight="15"/>
  <cols>
    <col min="1" max="1" width="9" bestFit="1" customWidth="1"/>
    <col min="2" max="2" width="62.28515625" customWidth="1"/>
    <col min="3" max="3" width="9.7109375" bestFit="1" customWidth="1"/>
    <col min="4" max="4" width="7.5703125" customWidth="1"/>
    <col min="5" max="5" width="10.140625" customWidth="1"/>
    <col min="6" max="6" width="17.28515625" style="20" bestFit="1" customWidth="1"/>
  </cols>
  <sheetData>
    <row r="1" spans="1:6" ht="23.25">
      <c r="A1" s="437" t="s">
        <v>0</v>
      </c>
      <c r="B1" s="438"/>
      <c r="C1" s="438"/>
      <c r="D1" s="438"/>
      <c r="E1" s="438"/>
      <c r="F1" s="439"/>
    </row>
    <row r="2" spans="1:6" ht="18" customHeight="1">
      <c r="A2" s="427" t="s">
        <v>1</v>
      </c>
      <c r="B2" s="428"/>
      <c r="C2" s="428"/>
      <c r="D2" s="428"/>
      <c r="E2" s="428"/>
      <c r="F2" s="429"/>
    </row>
    <row r="3" spans="1:6" ht="32.450000000000003" customHeight="1">
      <c r="A3" s="493" t="str">
        <f>[29]ESTIMATE!A2</f>
        <v>Name of Work :-CONSTRUCTION OF PCC ROAD AT NEW ARIA PIPER TOLI HOSE OF BIMAL TOPPO TO HOUSE OF BIJENDAR BARMAN UNDER WARD NO-35</v>
      </c>
      <c r="B3" s="494"/>
      <c r="C3" s="494"/>
      <c r="D3" s="494"/>
      <c r="E3" s="494"/>
      <c r="F3" s="495"/>
    </row>
    <row r="4" spans="1:6" ht="31.5">
      <c r="A4" s="110" t="s">
        <v>2</v>
      </c>
      <c r="B4" s="111" t="s">
        <v>3</v>
      </c>
      <c r="C4" s="111" t="s">
        <v>4</v>
      </c>
      <c r="D4" s="111" t="s">
        <v>5</v>
      </c>
      <c r="E4" s="110" t="s">
        <v>6</v>
      </c>
      <c r="F4" s="112" t="s">
        <v>7</v>
      </c>
    </row>
    <row r="5" spans="1:6" ht="15.75">
      <c r="A5" s="110">
        <f>[29]ESTIMATE!A4</f>
        <v>1</v>
      </c>
      <c r="B5" s="117" t="str">
        <f>[29]ESTIMATE!B4</f>
        <v>Labour for site clearence before and after the work etc.</v>
      </c>
      <c r="C5" s="114">
        <f>[29]ESTIMATE!G4</f>
        <v>3</v>
      </c>
      <c r="D5" s="115" t="s">
        <v>15</v>
      </c>
      <c r="E5" s="114">
        <f>[29]ESTIMATE!I4</f>
        <v>326.85000000000002</v>
      </c>
      <c r="F5" s="227">
        <f t="shared" ref="F5:F10" si="0">ROUND(C5*E5,2)</f>
        <v>980.55</v>
      </c>
    </row>
    <row r="6" spans="1:6" ht="90">
      <c r="A6" s="110" t="str">
        <f>[29]ESTIMATE!A5</f>
        <v>2       5.1.1.</v>
      </c>
      <c r="B6" s="117" t="s">
        <v>9</v>
      </c>
      <c r="C6" s="114">
        <f>[29]ESTIMATE!G8</f>
        <v>47.44</v>
      </c>
      <c r="D6" s="115" t="s">
        <v>15</v>
      </c>
      <c r="E6" s="114">
        <f>[29]ESTIMATE!I8</f>
        <v>151.82</v>
      </c>
      <c r="F6" s="227">
        <f t="shared" si="0"/>
        <v>7202.34</v>
      </c>
    </row>
    <row r="7" spans="1:6" ht="90">
      <c r="A7" s="110" t="str">
        <f>[29]ESTIMATE!A9</f>
        <v>3.           M-004</v>
      </c>
      <c r="B7" s="117" t="s">
        <v>46</v>
      </c>
      <c r="C7" s="114">
        <f>[29]ESTIMATE!G12</f>
        <v>17.7</v>
      </c>
      <c r="D7" s="115" t="s">
        <v>15</v>
      </c>
      <c r="E7" s="114">
        <f>[29]ESTIMATE!I12</f>
        <v>347.85</v>
      </c>
      <c r="F7" s="227">
        <f t="shared" si="0"/>
        <v>6156.95</v>
      </c>
    </row>
    <row r="8" spans="1:6" ht="66.599999999999994" customHeight="1">
      <c r="A8" s="110" t="str">
        <f>[29]ESTIMATE!A13</f>
        <v>4.       5.6.8 (C.I.W.)</v>
      </c>
      <c r="B8" s="117" t="s">
        <v>48</v>
      </c>
      <c r="C8" s="114">
        <f>[29]ESTIMATE!G16</f>
        <v>29.74</v>
      </c>
      <c r="D8" s="115" t="s">
        <v>15</v>
      </c>
      <c r="E8" s="114">
        <f>[29]ESTIMATE!I16</f>
        <v>1756.4</v>
      </c>
      <c r="F8" s="227">
        <f t="shared" si="0"/>
        <v>52235.34</v>
      </c>
    </row>
    <row r="9" spans="1:6" ht="65.099999999999994" customHeight="1">
      <c r="A9" s="110" t="str">
        <f>[29]ESTIMATE!A17</f>
        <v>5.     5.3.1.1</v>
      </c>
      <c r="B9" s="118" t="s">
        <v>68</v>
      </c>
      <c r="C9" s="114">
        <f>[29]ESTIMATE!G20</f>
        <v>35.4</v>
      </c>
      <c r="D9" s="115" t="s">
        <v>15</v>
      </c>
      <c r="E9" s="114">
        <f>[29]ESTIMATE!I20</f>
        <v>4961.7299999999996</v>
      </c>
      <c r="F9" s="227">
        <f t="shared" si="0"/>
        <v>175645.24</v>
      </c>
    </row>
    <row r="10" spans="1:6" ht="45.95" customHeight="1">
      <c r="A10" s="110" t="str">
        <f>[29]ESTIMATE!A21</f>
        <v>6               5.3.17.1</v>
      </c>
      <c r="B10" s="117" t="s">
        <v>57</v>
      </c>
      <c r="C10" s="114">
        <f>[29]ESTIMATE!G24</f>
        <v>23.23</v>
      </c>
      <c r="D10" s="119" t="s">
        <v>11</v>
      </c>
      <c r="E10" s="110">
        <f>[29]ESTIMATE!I24</f>
        <v>194.5</v>
      </c>
      <c r="F10" s="228">
        <f t="shared" si="0"/>
        <v>4518.24</v>
      </c>
    </row>
    <row r="11" spans="1:6" ht="15.75">
      <c r="A11" s="110">
        <f>[29]ESTIMATE!A25</f>
        <v>7</v>
      </c>
      <c r="B11" s="120" t="s">
        <v>12</v>
      </c>
      <c r="C11" s="115"/>
      <c r="D11" s="121"/>
      <c r="E11" s="122"/>
      <c r="F11" s="227"/>
    </row>
    <row r="12" spans="1:6" ht="15.75">
      <c r="A12" s="123" t="s">
        <v>13</v>
      </c>
      <c r="B12" s="124" t="str">
        <f>[29]ESTIMATE!B26</f>
        <v>SAND-LEAD-49KM</v>
      </c>
      <c r="C12" s="115">
        <f>PRODUCT('[29]MATERIAL '!F7)</f>
        <v>15.22</v>
      </c>
      <c r="D12" s="121" t="s">
        <v>15</v>
      </c>
      <c r="E12" s="1">
        <f>[29]ESTIMATE!I26</f>
        <v>848.82</v>
      </c>
      <c r="F12" s="227">
        <f t="shared" ref="F12:F16" si="1">ROUND(C12*E12,2)</f>
        <v>12919.04</v>
      </c>
    </row>
    <row r="13" spans="1:6" ht="15.75">
      <c r="A13" s="123" t="s">
        <v>16</v>
      </c>
      <c r="B13" s="125" t="str">
        <f>[29]ESTIMATE!B27</f>
        <v>STONE DUST-LEAD-22KM</v>
      </c>
      <c r="C13" s="115">
        <f>PRODUCT('[29]MATERIAL '!G7)</f>
        <v>17.7</v>
      </c>
      <c r="D13" s="121" t="s">
        <v>15</v>
      </c>
      <c r="E13" s="34">
        <f>[29]ESTIMATE!I27</f>
        <v>477.38</v>
      </c>
      <c r="F13" s="227">
        <f t="shared" si="1"/>
        <v>8449.6299999999992</v>
      </c>
    </row>
    <row r="14" spans="1:6" ht="15.75">
      <c r="A14" s="123" t="s">
        <v>18</v>
      </c>
      <c r="B14" s="125" t="str">
        <f>[29]ESTIMATE!B28</f>
        <v>STONE CHIPS-LEAD-22KM</v>
      </c>
      <c r="C14" s="115">
        <f>PRODUCT('[29]MATERIAL '!H7)</f>
        <v>30.44</v>
      </c>
      <c r="D14" s="121" t="s">
        <v>15</v>
      </c>
      <c r="E14" s="34">
        <f>[29]ESTIMATE!I28</f>
        <v>477.38</v>
      </c>
      <c r="F14" s="227">
        <f t="shared" si="1"/>
        <v>14531.45</v>
      </c>
    </row>
    <row r="15" spans="1:6" ht="15.75">
      <c r="A15" s="123" t="s">
        <v>20</v>
      </c>
      <c r="B15" s="125" t="str">
        <f>[29]ESTIMATE!B29</f>
        <v>BOULDER-LEAD-36KM</v>
      </c>
      <c r="C15" s="115">
        <f>PRODUCT('[29]MATERIAL '!I7)</f>
        <v>29.74</v>
      </c>
      <c r="D15" s="121" t="s">
        <v>15</v>
      </c>
      <c r="E15" s="1">
        <f>[29]ESTIMATE!I29</f>
        <v>679.66</v>
      </c>
      <c r="F15" s="227">
        <f t="shared" si="1"/>
        <v>20213.09</v>
      </c>
    </row>
    <row r="16" spans="1:6" ht="15.75">
      <c r="A16" s="123" t="s">
        <v>22</v>
      </c>
      <c r="B16" s="117" t="str">
        <f>[29]ESTIMATE!B30</f>
        <v>EARTH-LEAD-01km</v>
      </c>
      <c r="C16" s="115">
        <f>PRODUCT('[29]MATERIAL '!J7)</f>
        <v>47.44</v>
      </c>
      <c r="D16" s="121" t="s">
        <v>15</v>
      </c>
      <c r="E16" s="34">
        <f>[29]ESTIMATE!I30</f>
        <v>117.54</v>
      </c>
      <c r="F16" s="227">
        <f t="shared" si="1"/>
        <v>5576.1</v>
      </c>
    </row>
    <row r="17" spans="1:6" ht="15.75">
      <c r="A17" s="126"/>
      <c r="B17" s="126"/>
      <c r="C17" s="498" t="s">
        <v>24</v>
      </c>
      <c r="D17" s="498"/>
      <c r="E17" s="499"/>
      <c r="F17" s="227">
        <f>SUM(F5:F16)</f>
        <v>308427.96999999997</v>
      </c>
    </row>
    <row r="18" spans="1:6" ht="15.75">
      <c r="A18" s="126"/>
      <c r="B18" s="126"/>
      <c r="C18" s="501" t="s">
        <v>25</v>
      </c>
      <c r="D18" s="498"/>
      <c r="E18" s="499"/>
      <c r="F18" s="114">
        <f>F17*18%</f>
        <v>55517.034599999992</v>
      </c>
    </row>
    <row r="19" spans="1:6" ht="15.75">
      <c r="A19" s="126"/>
      <c r="B19" s="126"/>
      <c r="C19" s="501" t="s">
        <v>24</v>
      </c>
      <c r="D19" s="498"/>
      <c r="E19" s="499"/>
      <c r="F19" s="114">
        <f>SUM(F17:F18)</f>
        <v>363945.00459999999</v>
      </c>
    </row>
    <row r="20" spans="1:6" ht="15.75">
      <c r="A20" s="126"/>
      <c r="B20" s="126"/>
      <c r="C20" s="498" t="s">
        <v>26</v>
      </c>
      <c r="D20" s="498"/>
      <c r="E20" s="499"/>
      <c r="F20" s="227">
        <f>ROUND(F19*0.01,2)</f>
        <v>3639.45</v>
      </c>
    </row>
    <row r="21" spans="1:6" ht="15.75">
      <c r="A21" s="126"/>
      <c r="B21" s="126"/>
      <c r="C21" s="498" t="s">
        <v>24</v>
      </c>
      <c r="D21" s="498"/>
      <c r="E21" s="499"/>
      <c r="F21" s="114">
        <f>SUM(F19:F20)</f>
        <v>367584.4546</v>
      </c>
    </row>
    <row r="22" spans="1:6" ht="18">
      <c r="A22" s="126"/>
      <c r="B22" s="126"/>
      <c r="C22" s="498" t="s">
        <v>27</v>
      </c>
      <c r="D22" s="498"/>
      <c r="E22" s="499"/>
      <c r="F22" s="229">
        <v>367584</v>
      </c>
    </row>
    <row r="23" spans="1:6" ht="18.75">
      <c r="A23" s="16"/>
      <c r="B23" s="16"/>
      <c r="C23" s="17"/>
      <c r="D23" s="17"/>
      <c r="E23" s="17"/>
      <c r="F23" s="18"/>
    </row>
    <row r="24" spans="1:6" ht="18.75">
      <c r="A24" s="16"/>
      <c r="B24" s="16"/>
      <c r="C24" s="17"/>
      <c r="D24" s="17"/>
      <c r="E24" s="17"/>
      <c r="F24" s="18"/>
    </row>
    <row r="25" spans="1:6">
      <c r="A25" s="19"/>
    </row>
    <row r="26" spans="1:6">
      <c r="A26" s="19"/>
    </row>
    <row r="27" spans="1:6">
      <c r="A27" s="19"/>
      <c r="F27"/>
    </row>
    <row r="28" spans="1:6">
      <c r="A28" s="19"/>
      <c r="F28"/>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RowHeight="15"/>
  <cols>
    <col min="1" max="1" width="9" bestFit="1" customWidth="1"/>
    <col min="2" max="2" width="62.28515625" customWidth="1"/>
    <col min="3" max="3" width="9.7109375" bestFit="1" customWidth="1"/>
    <col min="4" max="4" width="8.28515625" customWidth="1"/>
    <col min="5" max="5" width="9.28515625" customWidth="1"/>
    <col min="6" max="6" width="17.28515625" style="20" bestFit="1" customWidth="1"/>
  </cols>
  <sheetData>
    <row r="1" spans="1:6" ht="23.25">
      <c r="A1" s="437" t="s">
        <v>0</v>
      </c>
      <c r="B1" s="438"/>
      <c r="C1" s="438"/>
      <c r="D1" s="438"/>
      <c r="E1" s="438"/>
      <c r="F1" s="439"/>
    </row>
    <row r="2" spans="1:6" ht="18" customHeight="1">
      <c r="A2" s="427" t="s">
        <v>1</v>
      </c>
      <c r="B2" s="428"/>
      <c r="C2" s="428"/>
      <c r="D2" s="428"/>
      <c r="E2" s="428"/>
      <c r="F2" s="429"/>
    </row>
    <row r="3" spans="1:6" ht="32.450000000000003" customHeight="1">
      <c r="A3" s="493" t="str">
        <f>[30]ESTIMATE!A2</f>
        <v>Name of Work :-CONSTRUCTION OF PCC ROAD AT BAZRA JHIRGI TOLI FROM AKHARA TO GOGA ORAON HOUSE UNDER WARD NO-35</v>
      </c>
      <c r="B3" s="494"/>
      <c r="C3" s="494"/>
      <c r="D3" s="494"/>
      <c r="E3" s="494"/>
      <c r="F3" s="495"/>
    </row>
    <row r="4" spans="1:6" ht="31.5">
      <c r="A4" s="110" t="s">
        <v>2</v>
      </c>
      <c r="B4" s="111" t="s">
        <v>3</v>
      </c>
      <c r="C4" s="111" t="s">
        <v>4</v>
      </c>
      <c r="D4" s="111" t="s">
        <v>5</v>
      </c>
      <c r="E4" s="110" t="s">
        <v>6</v>
      </c>
      <c r="F4" s="112" t="s">
        <v>7</v>
      </c>
    </row>
    <row r="5" spans="1:6" ht="15.75">
      <c r="A5" s="110">
        <f>[30]ESTIMATE!A4</f>
        <v>1</v>
      </c>
      <c r="B5" s="117" t="str">
        <f>[30]ESTIMATE!B4</f>
        <v>Labour for site clearence before and after the work etc.</v>
      </c>
      <c r="C5" s="114">
        <f>[30]ESTIMATE!G4</f>
        <v>4</v>
      </c>
      <c r="D5" s="115" t="s">
        <v>15</v>
      </c>
      <c r="E5" s="114">
        <f>[30]ESTIMATE!I4</f>
        <v>326.85000000000002</v>
      </c>
      <c r="F5" s="227">
        <f t="shared" ref="F5:F10" si="0">ROUND(C5*E5,2)</f>
        <v>1307.4000000000001</v>
      </c>
    </row>
    <row r="6" spans="1:6" ht="90">
      <c r="A6" s="110" t="str">
        <f>[30]ESTIMATE!A5</f>
        <v>2       5.1.1.</v>
      </c>
      <c r="B6" s="117" t="s">
        <v>9</v>
      </c>
      <c r="C6" s="114">
        <f>[30]ESTIMATE!G8</f>
        <v>75.900000000000006</v>
      </c>
      <c r="D6" s="115" t="s">
        <v>15</v>
      </c>
      <c r="E6" s="114">
        <f>[30]ESTIMATE!I8</f>
        <v>151.82</v>
      </c>
      <c r="F6" s="227">
        <f t="shared" si="0"/>
        <v>11523.14</v>
      </c>
    </row>
    <row r="7" spans="1:6" ht="90">
      <c r="A7" s="110" t="str">
        <f>[30]ESTIMATE!A9</f>
        <v>3.           M-004</v>
      </c>
      <c r="B7" s="117" t="s">
        <v>46</v>
      </c>
      <c r="C7" s="114">
        <f>[30]ESTIMATE!G12</f>
        <v>28.32</v>
      </c>
      <c r="D7" s="115" t="s">
        <v>15</v>
      </c>
      <c r="E7" s="114">
        <f>[30]ESTIMATE!I12</f>
        <v>347.85</v>
      </c>
      <c r="F7" s="227">
        <f t="shared" si="0"/>
        <v>9851.11</v>
      </c>
    </row>
    <row r="8" spans="1:6" ht="66.599999999999994" customHeight="1">
      <c r="A8" s="110" t="str">
        <f>[30]ESTIMATE!A13</f>
        <v>4.       5.6.8 (C.I.W.)</v>
      </c>
      <c r="B8" s="117" t="s">
        <v>48</v>
      </c>
      <c r="C8" s="114">
        <f>[30]ESTIMATE!G16</f>
        <v>47.58</v>
      </c>
      <c r="D8" s="115" t="s">
        <v>15</v>
      </c>
      <c r="E8" s="114">
        <f>[30]ESTIMATE!I16</f>
        <v>1756.4</v>
      </c>
      <c r="F8" s="227">
        <f t="shared" si="0"/>
        <v>83569.509999999995</v>
      </c>
    </row>
    <row r="9" spans="1:6" ht="65.099999999999994" customHeight="1">
      <c r="A9" s="110" t="str">
        <f>[30]ESTIMATE!A17</f>
        <v>5.     5.3.1.1</v>
      </c>
      <c r="B9" s="118" t="s">
        <v>68</v>
      </c>
      <c r="C9" s="114">
        <f>[30]ESTIMATE!G20</f>
        <v>56.64</v>
      </c>
      <c r="D9" s="115" t="s">
        <v>15</v>
      </c>
      <c r="E9" s="114">
        <f>[30]ESTIMATE!I20</f>
        <v>4961.7299999999996</v>
      </c>
      <c r="F9" s="227">
        <f t="shared" si="0"/>
        <v>281032.39</v>
      </c>
    </row>
    <row r="10" spans="1:6" ht="45.95" customHeight="1">
      <c r="A10" s="110" t="str">
        <f>[30]ESTIMATE!A21</f>
        <v>6               5.3.17.1</v>
      </c>
      <c r="B10" s="117" t="s">
        <v>57</v>
      </c>
      <c r="C10" s="114">
        <f>[30]ESTIMATE!G24</f>
        <v>37.17</v>
      </c>
      <c r="D10" s="119" t="s">
        <v>11</v>
      </c>
      <c r="E10" s="110">
        <f>[30]ESTIMATE!I24</f>
        <v>194.5</v>
      </c>
      <c r="F10" s="228">
        <f t="shared" si="0"/>
        <v>7229.57</v>
      </c>
    </row>
    <row r="11" spans="1:6" ht="15.75">
      <c r="A11" s="110">
        <f>[30]ESTIMATE!A25</f>
        <v>7</v>
      </c>
      <c r="B11" s="120" t="s">
        <v>12</v>
      </c>
      <c r="C11" s="115"/>
      <c r="D11" s="121"/>
      <c r="E11" s="122"/>
      <c r="F11" s="227"/>
    </row>
    <row r="12" spans="1:6" ht="15.75">
      <c r="A12" s="123" t="s">
        <v>13</v>
      </c>
      <c r="B12" s="124" t="str">
        <f>[30]ESTIMATE!B26</f>
        <v>SAND-LEAD-49KM</v>
      </c>
      <c r="C12" s="115">
        <f>PRODUCT('[30]MATERIAL '!F7)</f>
        <v>24.36</v>
      </c>
      <c r="D12" s="121" t="s">
        <v>15</v>
      </c>
      <c r="E12" s="1">
        <f>[30]ESTIMATE!I26</f>
        <v>848.82</v>
      </c>
      <c r="F12" s="227">
        <f t="shared" ref="F12:F16" si="1">ROUND(C12*E12,2)</f>
        <v>20677.259999999998</v>
      </c>
    </row>
    <row r="13" spans="1:6" ht="15.75">
      <c r="A13" s="123" t="s">
        <v>16</v>
      </c>
      <c r="B13" s="125" t="str">
        <f>[30]ESTIMATE!B27</f>
        <v>STONE DUST-LEAD-22KM</v>
      </c>
      <c r="C13" s="115">
        <f>PRODUCT('[30]MATERIAL '!G7)</f>
        <v>28.32</v>
      </c>
      <c r="D13" s="121" t="s">
        <v>15</v>
      </c>
      <c r="E13" s="34">
        <f>[30]ESTIMATE!I27</f>
        <v>477.38</v>
      </c>
      <c r="F13" s="227">
        <f t="shared" si="1"/>
        <v>13519.4</v>
      </c>
    </row>
    <row r="14" spans="1:6" ht="15.75">
      <c r="A14" s="123" t="s">
        <v>18</v>
      </c>
      <c r="B14" s="125" t="str">
        <f>[30]ESTIMATE!B28</f>
        <v>STONE CHIPS-LEAD-22KM</v>
      </c>
      <c r="C14" s="115">
        <f>PRODUCT('[30]MATERIAL '!H7)</f>
        <v>48.71</v>
      </c>
      <c r="D14" s="121" t="s">
        <v>15</v>
      </c>
      <c r="E14" s="34">
        <f>[30]ESTIMATE!I28</f>
        <v>477.38</v>
      </c>
      <c r="F14" s="227">
        <f t="shared" si="1"/>
        <v>23253.18</v>
      </c>
    </row>
    <row r="15" spans="1:6" ht="15.75">
      <c r="A15" s="123" t="s">
        <v>20</v>
      </c>
      <c r="B15" s="125" t="str">
        <f>[30]ESTIMATE!B29</f>
        <v>BOULDER-LEAD-36KM</v>
      </c>
      <c r="C15" s="115">
        <f>PRODUCT('[30]MATERIAL '!I7)</f>
        <v>47.58</v>
      </c>
      <c r="D15" s="121" t="s">
        <v>15</v>
      </c>
      <c r="E15" s="1">
        <f>[30]ESTIMATE!I29</f>
        <v>679.66</v>
      </c>
      <c r="F15" s="227">
        <f t="shared" si="1"/>
        <v>32338.22</v>
      </c>
    </row>
    <row r="16" spans="1:6" ht="15.75">
      <c r="A16" s="123" t="s">
        <v>22</v>
      </c>
      <c r="B16" s="117" t="str">
        <f>[30]ESTIMATE!B30</f>
        <v>EARTH-LEAD-01km</v>
      </c>
      <c r="C16" s="115">
        <f>PRODUCT('[30]MATERIAL '!J7)</f>
        <v>75.900000000000006</v>
      </c>
      <c r="D16" s="121" t="s">
        <v>15</v>
      </c>
      <c r="E16" s="34">
        <f>[30]ESTIMATE!I30</f>
        <v>117.54</v>
      </c>
      <c r="F16" s="227">
        <f t="shared" si="1"/>
        <v>8921.2900000000009</v>
      </c>
    </row>
    <row r="17" spans="1:6" ht="15.75">
      <c r="A17" s="126"/>
      <c r="B17" s="126"/>
      <c r="C17" s="498" t="s">
        <v>24</v>
      </c>
      <c r="D17" s="498"/>
      <c r="E17" s="499"/>
      <c r="F17" s="227">
        <f>SUM(F5:F16)</f>
        <v>493222.47000000003</v>
      </c>
    </row>
    <row r="18" spans="1:6" ht="15.75">
      <c r="A18" s="126"/>
      <c r="B18" s="126"/>
      <c r="C18" s="501" t="s">
        <v>25</v>
      </c>
      <c r="D18" s="498"/>
      <c r="E18" s="499"/>
      <c r="F18" s="114">
        <f>F17*18%</f>
        <v>88780.044600000008</v>
      </c>
    </row>
    <row r="19" spans="1:6" ht="15.75">
      <c r="A19" s="126"/>
      <c r="B19" s="126"/>
      <c r="C19" s="501" t="s">
        <v>24</v>
      </c>
      <c r="D19" s="498"/>
      <c r="E19" s="499"/>
      <c r="F19" s="114">
        <f>SUM(F17:F18)</f>
        <v>582002.51459999999</v>
      </c>
    </row>
    <row r="20" spans="1:6" ht="15.75">
      <c r="A20" s="126"/>
      <c r="B20" s="126"/>
      <c r="C20" s="498" t="s">
        <v>26</v>
      </c>
      <c r="D20" s="498"/>
      <c r="E20" s="499"/>
      <c r="F20" s="227">
        <f>ROUND(F19*0.01,2)</f>
        <v>5820.03</v>
      </c>
    </row>
    <row r="21" spans="1:6" ht="15.75">
      <c r="A21" s="126"/>
      <c r="B21" s="126"/>
      <c r="C21" s="498" t="s">
        <v>24</v>
      </c>
      <c r="D21" s="498"/>
      <c r="E21" s="499"/>
      <c r="F21" s="114">
        <f>SUM(F19:F20)</f>
        <v>587822.54460000002</v>
      </c>
    </row>
    <row r="22" spans="1:6" ht="18">
      <c r="A22" s="126"/>
      <c r="B22" s="126"/>
      <c r="C22" s="498" t="s">
        <v>27</v>
      </c>
      <c r="D22" s="498"/>
      <c r="E22" s="499"/>
      <c r="F22" s="229">
        <v>587823</v>
      </c>
    </row>
    <row r="23" spans="1:6" ht="18.75">
      <c r="A23" s="16"/>
      <c r="B23" s="16"/>
      <c r="C23" s="17"/>
      <c r="D23" s="17"/>
      <c r="E23" s="17"/>
      <c r="F23" s="18"/>
    </row>
    <row r="24" spans="1:6" ht="18.75">
      <c r="A24" s="16"/>
      <c r="B24" s="16"/>
      <c r="C24" s="17"/>
      <c r="D24" s="17"/>
      <c r="E24" s="17"/>
      <c r="F24" s="18"/>
    </row>
    <row r="25" spans="1:6">
      <c r="A25" s="19"/>
    </row>
    <row r="26" spans="1:6">
      <c r="A26" s="19"/>
    </row>
    <row r="27" spans="1:6" ht="18.75">
      <c r="A27" s="19"/>
      <c r="B27" s="21" t="s">
        <v>28</v>
      </c>
      <c r="C27" s="22" t="s">
        <v>29</v>
      </c>
      <c r="F27" s="18" t="s">
        <v>30</v>
      </c>
    </row>
    <row r="28" spans="1:6" ht="18.75">
      <c r="A28" s="19"/>
      <c r="B28" s="21" t="s">
        <v>31</v>
      </c>
      <c r="C28" s="22" t="s">
        <v>32</v>
      </c>
      <c r="F28" s="18" t="s">
        <v>31</v>
      </c>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G23"/>
  <sheetViews>
    <sheetView workbookViewId="0">
      <selection activeCell="A3" sqref="A3:XFD3"/>
    </sheetView>
  </sheetViews>
  <sheetFormatPr defaultRowHeight="15"/>
  <cols>
    <col min="1" max="1" width="8.85546875" style="30" customWidth="1"/>
    <col min="2" max="2" width="42.85546875" style="31" customWidth="1"/>
    <col min="3" max="3" width="13.7109375" style="23" bestFit="1" customWidth="1"/>
    <col min="4" max="4" width="9.140625" style="32"/>
    <col min="5" max="5" width="12.140625" style="23" customWidth="1"/>
    <col min="6" max="6" width="16.42578125" style="33" customWidth="1"/>
    <col min="7" max="7" width="22.140625" style="23" hidden="1" customWidth="1"/>
    <col min="8" max="16384" width="9.140625" style="23"/>
  </cols>
  <sheetData>
    <row r="1" spans="1:6" ht="18.75">
      <c r="A1" s="380" t="s">
        <v>0</v>
      </c>
      <c r="B1" s="380"/>
      <c r="C1" s="380"/>
      <c r="D1" s="380"/>
      <c r="E1" s="380"/>
      <c r="F1" s="380"/>
    </row>
    <row r="2" spans="1:6" ht="18.75">
      <c r="A2" s="380" t="s">
        <v>33</v>
      </c>
      <c r="B2" s="380"/>
      <c r="C2" s="380"/>
      <c r="D2" s="380"/>
      <c r="E2" s="380"/>
      <c r="F2" s="380"/>
    </row>
    <row r="3" spans="1:6" ht="39.75" customHeight="1">
      <c r="A3" s="515" t="s">
        <v>186</v>
      </c>
      <c r="B3" s="516"/>
      <c r="C3" s="516"/>
      <c r="D3" s="516"/>
      <c r="E3" s="516"/>
      <c r="F3" s="517"/>
    </row>
    <row r="4" spans="1:6">
      <c r="A4" s="24" t="s">
        <v>35</v>
      </c>
      <c r="B4" s="24" t="s">
        <v>36</v>
      </c>
      <c r="C4" s="24" t="s">
        <v>37</v>
      </c>
      <c r="D4" s="24" t="s">
        <v>5</v>
      </c>
      <c r="E4" s="24" t="s">
        <v>38</v>
      </c>
      <c r="F4" s="24" t="s">
        <v>39</v>
      </c>
    </row>
    <row r="5" spans="1:6" ht="75">
      <c r="A5" s="135" t="s">
        <v>187</v>
      </c>
      <c r="B5" s="26" t="s">
        <v>188</v>
      </c>
      <c r="C5" s="26">
        <v>56.22</v>
      </c>
      <c r="D5" s="25" t="s">
        <v>158</v>
      </c>
      <c r="E5" s="134">
        <v>151.82</v>
      </c>
      <c r="F5" s="26">
        <f>C5*E5</f>
        <v>8535.3203999999987</v>
      </c>
    </row>
    <row r="6" spans="1:6" ht="105">
      <c r="A6" s="135" t="s">
        <v>189</v>
      </c>
      <c r="B6" s="26" t="s">
        <v>190</v>
      </c>
      <c r="C6" s="26">
        <v>4.97</v>
      </c>
      <c r="D6" s="25" t="s">
        <v>158</v>
      </c>
      <c r="E6" s="134">
        <v>344.85</v>
      </c>
      <c r="F6" s="26">
        <f t="shared" ref="F6:F18" si="0">C6*E6</f>
        <v>1713.9045000000001</v>
      </c>
    </row>
    <row r="7" spans="1:6" ht="90">
      <c r="A7" s="135" t="s">
        <v>191</v>
      </c>
      <c r="B7" s="26" t="s">
        <v>161</v>
      </c>
      <c r="C7" s="26">
        <v>8.34</v>
      </c>
      <c r="D7" s="25" t="s">
        <v>158</v>
      </c>
      <c r="E7" s="134">
        <v>1756.4</v>
      </c>
      <c r="F7" s="26">
        <f t="shared" si="0"/>
        <v>14648.376</v>
      </c>
    </row>
    <row r="8" spans="1:6" ht="60">
      <c r="A8" s="135" t="s">
        <v>192</v>
      </c>
      <c r="B8" s="26" t="s">
        <v>193</v>
      </c>
      <c r="C8" s="134">
        <v>18.329999999999998</v>
      </c>
      <c r="D8" s="25" t="s">
        <v>158</v>
      </c>
      <c r="E8" s="134">
        <v>6082.45</v>
      </c>
      <c r="F8" s="26">
        <f t="shared" si="0"/>
        <v>111491.30849999998</v>
      </c>
    </row>
    <row r="9" spans="1:6" ht="105">
      <c r="A9" s="135" t="s">
        <v>194</v>
      </c>
      <c r="B9" s="26" t="s">
        <v>195</v>
      </c>
      <c r="C9" s="134">
        <v>6.56</v>
      </c>
      <c r="D9" s="25" t="s">
        <v>158</v>
      </c>
      <c r="E9" s="134">
        <v>6308.87</v>
      </c>
      <c r="F9" s="26">
        <f t="shared" si="0"/>
        <v>41386.1872</v>
      </c>
    </row>
    <row r="10" spans="1:6" ht="135">
      <c r="A10" s="135" t="s">
        <v>196</v>
      </c>
      <c r="B10" s="137" t="s">
        <v>197</v>
      </c>
      <c r="C10" s="134">
        <f>0.45+0.16</f>
        <v>0.61</v>
      </c>
      <c r="D10" s="135" t="s">
        <v>10</v>
      </c>
      <c r="E10" s="134">
        <v>83314.02</v>
      </c>
      <c r="F10" s="26">
        <f t="shared" si="0"/>
        <v>50821.552199999998</v>
      </c>
    </row>
    <row r="11" spans="1:6" ht="135">
      <c r="A11" s="135" t="s">
        <v>198</v>
      </c>
      <c r="B11" s="137" t="s">
        <v>199</v>
      </c>
      <c r="C11" s="134">
        <f>0.68+0.24</f>
        <v>0.92</v>
      </c>
      <c r="D11" s="135" t="s">
        <v>10</v>
      </c>
      <c r="E11" s="134">
        <v>82096.539999999994</v>
      </c>
      <c r="F11" s="26">
        <f t="shared" si="0"/>
        <v>75528.816800000001</v>
      </c>
    </row>
    <row r="12" spans="1:6" ht="45">
      <c r="A12" s="135" t="s">
        <v>200</v>
      </c>
      <c r="B12" s="137" t="s">
        <v>201</v>
      </c>
      <c r="C12" s="26">
        <v>259.95999999999998</v>
      </c>
      <c r="D12" s="135" t="s">
        <v>172</v>
      </c>
      <c r="E12" s="134">
        <v>194.5</v>
      </c>
      <c r="F12" s="26">
        <f t="shared" si="0"/>
        <v>50562.219999999994</v>
      </c>
    </row>
    <row r="13" spans="1:6">
      <c r="A13" s="27">
        <v>9</v>
      </c>
      <c r="B13" s="28" t="s">
        <v>175</v>
      </c>
      <c r="C13" s="26"/>
      <c r="D13" s="25"/>
      <c r="E13" s="29"/>
      <c r="F13" s="26"/>
    </row>
    <row r="14" spans="1:6">
      <c r="A14" s="27" t="s">
        <v>145</v>
      </c>
      <c r="B14" s="26" t="s">
        <v>202</v>
      </c>
      <c r="C14" s="26">
        <v>10.7</v>
      </c>
      <c r="D14" s="26" t="s">
        <v>158</v>
      </c>
      <c r="E14" s="26">
        <v>819.06</v>
      </c>
      <c r="F14" s="26">
        <f t="shared" si="0"/>
        <v>8763.9419999999991</v>
      </c>
    </row>
    <row r="15" spans="1:6">
      <c r="A15" s="27" t="s">
        <v>147</v>
      </c>
      <c r="B15" s="26" t="s">
        <v>203</v>
      </c>
      <c r="C15" s="26">
        <v>4.97</v>
      </c>
      <c r="D15" s="26" t="s">
        <v>158</v>
      </c>
      <c r="E15" s="26">
        <v>417.3</v>
      </c>
      <c r="F15" s="26">
        <f t="shared" si="0"/>
        <v>2073.9809999999998</v>
      </c>
    </row>
    <row r="16" spans="1:6">
      <c r="A16" s="27" t="s">
        <v>149</v>
      </c>
      <c r="B16" s="26" t="s">
        <v>181</v>
      </c>
      <c r="C16" s="26">
        <v>8.34</v>
      </c>
      <c r="D16" s="26" t="s">
        <v>158</v>
      </c>
      <c r="E16" s="26">
        <v>648.59</v>
      </c>
      <c r="F16" s="26">
        <f t="shared" si="0"/>
        <v>5409.2406000000001</v>
      </c>
    </row>
    <row r="17" spans="1:6">
      <c r="A17" s="27" t="s">
        <v>204</v>
      </c>
      <c r="B17" s="26" t="s">
        <v>205</v>
      </c>
      <c r="C17" s="26">
        <v>21.4</v>
      </c>
      <c r="D17" s="26" t="s">
        <v>158</v>
      </c>
      <c r="E17" s="26">
        <v>417.3</v>
      </c>
      <c r="F17" s="26">
        <f t="shared" si="0"/>
        <v>8930.2199999999993</v>
      </c>
    </row>
    <row r="18" spans="1:6">
      <c r="A18" s="27" t="s">
        <v>206</v>
      </c>
      <c r="B18" s="26" t="s">
        <v>185</v>
      </c>
      <c r="C18" s="26">
        <v>19.64</v>
      </c>
      <c r="D18" s="26" t="s">
        <v>158</v>
      </c>
      <c r="E18" s="26">
        <v>117.54</v>
      </c>
      <c r="F18" s="26">
        <f t="shared" si="0"/>
        <v>2308.4856</v>
      </c>
    </row>
    <row r="19" spans="1:6">
      <c r="A19" s="26"/>
      <c r="B19" s="26"/>
      <c r="C19" s="26"/>
      <c r="D19" s="26"/>
      <c r="E19" s="26" t="s">
        <v>59</v>
      </c>
      <c r="F19" s="26">
        <f>SUM(F5:F18)</f>
        <v>382173.55479999993</v>
      </c>
    </row>
    <row r="20" spans="1:6">
      <c r="A20" s="27"/>
      <c r="B20" s="28"/>
      <c r="C20" s="29"/>
      <c r="D20" s="25"/>
      <c r="E20" s="26" t="s">
        <v>60</v>
      </c>
      <c r="F20" s="26">
        <f>F19*18/100</f>
        <v>68791.239863999988</v>
      </c>
    </row>
    <row r="21" spans="1:6">
      <c r="A21" s="27"/>
      <c r="B21" s="28"/>
      <c r="C21" s="29"/>
      <c r="D21" s="25"/>
      <c r="E21" s="26"/>
      <c r="F21" s="26">
        <f>F20+F19</f>
        <v>450964.79466399993</v>
      </c>
    </row>
    <row r="22" spans="1:6">
      <c r="A22" s="27"/>
      <c r="B22" s="28"/>
      <c r="C22" s="29"/>
      <c r="D22" s="25"/>
      <c r="E22" s="26" t="s">
        <v>61</v>
      </c>
      <c r="F22" s="26">
        <f>F21*1/100</f>
        <v>4509.6479466399996</v>
      </c>
    </row>
    <row r="23" spans="1:6">
      <c r="A23" s="27"/>
      <c r="B23" s="28"/>
      <c r="C23" s="29"/>
      <c r="D23" s="25"/>
      <c r="E23" s="26" t="s">
        <v>59</v>
      </c>
      <c r="F23" s="26">
        <f>F22+F21</f>
        <v>455474.4426106399</v>
      </c>
    </row>
  </sheetData>
  <mergeCells count="3">
    <mergeCell ref="A1:F1"/>
    <mergeCell ref="A2:F2"/>
    <mergeCell ref="A3:F3"/>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J17"/>
  <sheetViews>
    <sheetView topLeftCell="A10" workbookViewId="0">
      <selection activeCell="A2" sqref="A2:F2"/>
    </sheetView>
  </sheetViews>
  <sheetFormatPr defaultRowHeight="15"/>
  <cols>
    <col min="1" max="1" width="8" customWidth="1"/>
    <col min="2" max="2" width="46" customWidth="1"/>
    <col min="6" max="6" width="12.42578125" customWidth="1"/>
  </cols>
  <sheetData>
    <row r="1" spans="1:6" ht="23.25">
      <c r="B1" s="519" t="s">
        <v>75</v>
      </c>
      <c r="C1" s="519"/>
      <c r="D1" s="519"/>
      <c r="E1" s="519"/>
    </row>
    <row r="2" spans="1:6" ht="45.75" customHeight="1">
      <c r="A2" s="520" t="s">
        <v>261</v>
      </c>
      <c r="B2" s="520"/>
      <c r="C2" s="520"/>
      <c r="D2" s="520"/>
      <c r="E2" s="520"/>
      <c r="F2" s="520"/>
    </row>
    <row r="3" spans="1:6">
      <c r="A3" s="186"/>
    </row>
    <row r="4" spans="1:6" ht="30">
      <c r="A4" s="28" t="s">
        <v>64</v>
      </c>
      <c r="B4" s="29" t="s">
        <v>262</v>
      </c>
      <c r="C4" s="187" t="s">
        <v>263</v>
      </c>
      <c r="D4" s="29" t="s">
        <v>264</v>
      </c>
      <c r="E4" s="143" t="s">
        <v>265</v>
      </c>
      <c r="F4" s="188" t="s">
        <v>266</v>
      </c>
    </row>
    <row r="5" spans="1:6" ht="166.5" customHeight="1">
      <c r="A5" s="98" t="s">
        <v>267</v>
      </c>
      <c r="B5" s="189" t="s">
        <v>209</v>
      </c>
      <c r="C5" s="190">
        <f>'[31]DETAILED ESTIMATE'!G8</f>
        <v>36.193712829226847</v>
      </c>
      <c r="D5" s="191" t="s">
        <v>15</v>
      </c>
      <c r="E5" s="190">
        <f>'[31]DETAILED ESTIMATE'!I8</f>
        <v>151.82</v>
      </c>
      <c r="F5" s="190">
        <f t="shared" ref="F5:F7" si="0">PRODUCT(C5,E5)</f>
        <v>5494.9294817332193</v>
      </c>
    </row>
    <row r="6" spans="1:6" ht="252">
      <c r="A6" s="192" t="s">
        <v>210</v>
      </c>
      <c r="B6" s="189" t="s">
        <v>268</v>
      </c>
      <c r="C6" s="190">
        <f>'[31]DETAILED ESTIMATE'!G12</f>
        <v>158.36431226765799</v>
      </c>
      <c r="D6" s="190" t="s">
        <v>15</v>
      </c>
      <c r="E6" s="190">
        <v>877.72</v>
      </c>
      <c r="F6" s="190">
        <f t="shared" si="0"/>
        <v>138999.52416356877</v>
      </c>
    </row>
    <row r="7" spans="1:6" ht="124.5" customHeight="1">
      <c r="A7" s="192" t="s">
        <v>269</v>
      </c>
      <c r="B7" s="96" t="s">
        <v>270</v>
      </c>
      <c r="C7" s="190">
        <f>'[31]DETAILED ESTIMATE'!G16</f>
        <v>10.28</v>
      </c>
      <c r="D7" s="190" t="s">
        <v>15</v>
      </c>
      <c r="E7" s="190">
        <f>'[31]DETAILED ESTIMATE'!I16</f>
        <v>4961.7299999999996</v>
      </c>
      <c r="F7" s="190">
        <f t="shared" si="0"/>
        <v>51006.584399999992</v>
      </c>
    </row>
    <row r="8" spans="1:6" ht="15.75" customHeight="1">
      <c r="A8" s="193"/>
      <c r="B8" s="193" t="s">
        <v>271</v>
      </c>
      <c r="C8" s="194"/>
      <c r="D8" s="194"/>
      <c r="E8" s="195"/>
      <c r="F8" s="196"/>
    </row>
    <row r="9" spans="1:6">
      <c r="A9" s="197"/>
      <c r="B9" s="154" t="str">
        <f>'[31]DETAILED ESTIMATE'!B18</f>
        <v>SAND-LEAD-42 KM</v>
      </c>
      <c r="C9" s="198">
        <f>'[31]DETAILED ESTIMATE'!C18</f>
        <v>0.43</v>
      </c>
      <c r="D9" s="198" t="s">
        <v>10</v>
      </c>
      <c r="E9" s="190">
        <f>'[31]DETAILED ESTIMATE'!I18</f>
        <v>744.66</v>
      </c>
      <c r="F9" s="190">
        <f>PRODUCT(C9,E9)</f>
        <v>320.2038</v>
      </c>
    </row>
    <row r="10" spans="1:6">
      <c r="A10" s="197"/>
      <c r="B10" s="198" t="str">
        <f>'[31]DETAILED ESTIMATE'!B19</f>
        <v>CHIPS-LEAD-15KM</v>
      </c>
      <c r="C10" s="198">
        <f>'[31]DETAILED ESTIMATE'!C19</f>
        <v>8.8407999999999998</v>
      </c>
      <c r="D10" s="198" t="s">
        <v>15</v>
      </c>
      <c r="E10" s="190">
        <f>'[31]DETAILED ESTIMATE'!I19</f>
        <v>342.9</v>
      </c>
      <c r="F10" s="190">
        <f>PRODUCT(C10,E10)</f>
        <v>3031.5103199999999</v>
      </c>
    </row>
    <row r="11" spans="1:6">
      <c r="A11" s="197"/>
      <c r="B11" s="198" t="str">
        <f>'[31]DETAILED ESTIMATE'!B20</f>
        <v>EARTH-LEAD-1km</v>
      </c>
      <c r="C11" s="198">
        <f>'[31]DETAILED ESTIMATE'!C20</f>
        <v>36.193712829226847</v>
      </c>
      <c r="D11" s="198" t="s">
        <v>15</v>
      </c>
      <c r="E11" s="190">
        <f>'[31]DETAILED ESTIMATE'!I20</f>
        <v>117.54</v>
      </c>
      <c r="F11" s="190">
        <f>PRODUCT(C11,E11)</f>
        <v>4254.2090059473239</v>
      </c>
    </row>
    <row r="12" spans="1:6">
      <c r="A12" s="199"/>
      <c r="B12" s="521" t="s">
        <v>59</v>
      </c>
      <c r="C12" s="521"/>
      <c r="D12" s="521"/>
      <c r="E12" s="522"/>
      <c r="F12" s="146">
        <f>SUM(F5:F11)</f>
        <v>203106.96117124928</v>
      </c>
    </row>
    <row r="13" spans="1:6">
      <c r="A13" s="343"/>
      <c r="B13" s="343"/>
      <c r="C13" s="343"/>
      <c r="D13" s="518" t="s">
        <v>272</v>
      </c>
      <c r="E13" s="518"/>
      <c r="F13" s="343">
        <f>F12*0.18</f>
        <v>36559.253010824868</v>
      </c>
    </row>
    <row r="14" spans="1:6">
      <c r="A14" s="343"/>
      <c r="B14" s="343"/>
      <c r="C14" s="343"/>
      <c r="D14" s="518" t="s">
        <v>59</v>
      </c>
      <c r="E14" s="518"/>
      <c r="F14" s="344">
        <f>F12+F13</f>
        <v>239666.21418207415</v>
      </c>
    </row>
    <row r="15" spans="1:6">
      <c r="A15" s="343"/>
      <c r="B15" s="343"/>
      <c r="C15" s="343"/>
      <c r="D15" s="523" t="s">
        <v>273</v>
      </c>
      <c r="E15" s="523"/>
      <c r="F15" s="343">
        <f>F14*0.01</f>
        <v>2396.6621418207415</v>
      </c>
    </row>
    <row r="16" spans="1:6">
      <c r="A16" s="343"/>
      <c r="B16" s="343"/>
      <c r="C16" s="343"/>
      <c r="D16" s="518" t="s">
        <v>59</v>
      </c>
      <c r="E16" s="518"/>
      <c r="F16" s="344">
        <f>F14+F15</f>
        <v>242062.87632389489</v>
      </c>
    </row>
    <row r="17" spans="1:10" ht="24.75" customHeight="1">
      <c r="A17" s="345"/>
      <c r="B17" s="345"/>
      <c r="C17" s="345"/>
      <c r="D17" s="518" t="s">
        <v>274</v>
      </c>
      <c r="E17" s="518"/>
      <c r="F17" s="198">
        <v>245000</v>
      </c>
      <c r="G17" s="202"/>
      <c r="H17" s="202"/>
      <c r="I17" s="202"/>
      <c r="J17" s="203"/>
    </row>
  </sheetData>
  <mergeCells count="8">
    <mergeCell ref="D16:E16"/>
    <mergeCell ref="D17:E17"/>
    <mergeCell ref="B1:E1"/>
    <mergeCell ref="A2:F2"/>
    <mergeCell ref="B12:E12"/>
    <mergeCell ref="D13:E13"/>
    <mergeCell ref="D14:E14"/>
    <mergeCell ref="D15:E15"/>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RowHeight="15"/>
  <cols>
    <col min="1" max="1" width="9.28515625" bestFit="1" customWidth="1"/>
    <col min="2" max="2" width="51.42578125" customWidth="1"/>
    <col min="3" max="3" width="10.85546875" bestFit="1" customWidth="1"/>
    <col min="5" max="5" width="13" bestFit="1" customWidth="1"/>
    <col min="6" max="6" width="22.5703125" customWidth="1"/>
  </cols>
  <sheetData>
    <row r="1" spans="1:6" ht="25.5">
      <c r="A1" s="469" t="s">
        <v>0</v>
      </c>
      <c r="B1" s="470"/>
      <c r="C1" s="470"/>
      <c r="D1" s="470"/>
      <c r="E1" s="470"/>
      <c r="F1" s="471"/>
    </row>
    <row r="2" spans="1:6" ht="18" customHeight="1">
      <c r="A2" s="472" t="s">
        <v>1</v>
      </c>
      <c r="B2" s="473"/>
      <c r="C2" s="473"/>
      <c r="D2" s="473"/>
      <c r="E2" s="473"/>
      <c r="F2" s="474"/>
    </row>
    <row r="3" spans="1:6" ht="32.450000000000003" customHeight="1">
      <c r="A3" s="526" t="str">
        <f>[32]ESTIMATE!A2</f>
        <v>Name of Work :-CONSTRUCTION OF PCC ROAD At Bank Mode Sec II UNDER WARD NO-41</v>
      </c>
      <c r="B3" s="421"/>
      <c r="C3" s="421"/>
      <c r="D3" s="421"/>
      <c r="E3" s="421"/>
      <c r="F3" s="527"/>
    </row>
    <row r="4" spans="1:6" ht="31.5">
      <c r="A4" s="89" t="s">
        <v>2</v>
      </c>
      <c r="B4" s="90" t="s">
        <v>3</v>
      </c>
      <c r="C4" s="90" t="s">
        <v>4</v>
      </c>
      <c r="D4" s="90" t="s">
        <v>5</v>
      </c>
      <c r="E4" s="89" t="s">
        <v>6</v>
      </c>
      <c r="F4" s="89" t="s">
        <v>7</v>
      </c>
    </row>
    <row r="5" spans="1:6" ht="31.5">
      <c r="A5" s="89">
        <f>[32]ESTIMATE!A4</f>
        <v>1</v>
      </c>
      <c r="B5" s="96" t="str">
        <f>[32]ESTIMATE!B4</f>
        <v>Providing Mandays for site clearence before and after the work etc.</v>
      </c>
      <c r="C5" s="93">
        <f>[32]ESTIMATE!G4</f>
        <v>6</v>
      </c>
      <c r="D5" s="94" t="s">
        <v>15</v>
      </c>
      <c r="E5" s="93">
        <f>[32]ESTIMATE!I4</f>
        <v>330.4</v>
      </c>
      <c r="F5" s="93">
        <f t="shared" ref="F5:F9" si="0">ROUND(C5*E5,2)</f>
        <v>1982.4</v>
      </c>
    </row>
    <row r="6" spans="1:6" ht="126">
      <c r="A6" s="89" t="str">
        <f>[32]ESTIMATE!A5</f>
        <v>2       5.1.1.+ 5.1.2</v>
      </c>
      <c r="B6" s="96" t="str">
        <f>[32]ESTIMATE!B5</f>
        <v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v>
      </c>
      <c r="C6" s="93">
        <f>[32]ESTIMATE!G8</f>
        <v>105.78</v>
      </c>
      <c r="D6" s="94" t="s">
        <v>15</v>
      </c>
      <c r="E6" s="93">
        <v>151.82</v>
      </c>
      <c r="F6" s="93">
        <f t="shared" si="0"/>
        <v>16059.52</v>
      </c>
    </row>
    <row r="7" spans="1:6" ht="110.25">
      <c r="A7" s="89" t="str">
        <f>[32]ESTIMATE!A9</f>
        <v>3.         5.1.10</v>
      </c>
      <c r="B7" s="96" t="str">
        <f>[32]ESTIMATE!B9</f>
        <v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v>
      </c>
      <c r="C7" s="93">
        <f>[32]ESTIMATE!G12</f>
        <v>31.86</v>
      </c>
      <c r="D7" s="94" t="s">
        <v>15</v>
      </c>
      <c r="E7" s="93">
        <v>589.51</v>
      </c>
      <c r="F7" s="93">
        <f t="shared" si="0"/>
        <v>18781.79</v>
      </c>
    </row>
    <row r="8" spans="1:6" ht="78.75">
      <c r="A8" s="89" t="str">
        <f>[32]ESTIMATE!A13</f>
        <v>4.       5.6.8</v>
      </c>
      <c r="B8" s="96" t="str">
        <f>[32]ESTIMATE!B13</f>
        <v>Supplying and laying (properly as per design and drawing )rip-rap with good quality of boulders duly packed including the cost of materials,royalty all taxes etc.but excluding the cost of carriage, all complete as per specification and direction of E/I.</v>
      </c>
      <c r="C8" s="93">
        <f>[32]ESTIMATE!G16</f>
        <v>53.53</v>
      </c>
      <c r="D8" s="94" t="s">
        <v>15</v>
      </c>
      <c r="E8" s="93">
        <v>1756.4</v>
      </c>
      <c r="F8" s="93">
        <f t="shared" si="0"/>
        <v>94020.09</v>
      </c>
    </row>
    <row r="9" spans="1:6" ht="65.099999999999994" customHeight="1">
      <c r="A9" s="89" t="str">
        <f>[32]ESTIMATE!A17</f>
        <v>5.     5.3.1.1</v>
      </c>
      <c r="B9" s="97" t="str">
        <f>[32]ESTIMATE!B17</f>
        <v xml:space="preserve">Providing and laying in position concrete of specified grade excluding the cost of centering and shuttering- All work upto plinth level : 1:1½:3 (1 cemet : 1½ coarse sand (zone-iii) : 3 graded stone aggregate 20mm nominal size )  </v>
      </c>
      <c r="C9" s="93">
        <f>[32]ESTIMATE!G20</f>
        <v>63.72</v>
      </c>
      <c r="D9" s="94" t="s">
        <v>15</v>
      </c>
      <c r="E9" s="93">
        <v>6082.45</v>
      </c>
      <c r="F9" s="93">
        <f t="shared" si="0"/>
        <v>387573.71</v>
      </c>
    </row>
    <row r="10" spans="1:6" ht="65.099999999999994" customHeight="1">
      <c r="A10" s="89" t="str">
        <f>[32]ESTIMATE!A21</f>
        <v>6               5.3.17.1</v>
      </c>
      <c r="B10" s="97" t="str">
        <f>[32]ESTIMATE!B21</f>
        <v>Centering and shuttering including strutting, propping etc. and removal of from for Foundations,footings, bases of columns, etc. for mass concrete.</v>
      </c>
      <c r="C10" s="93">
        <f>[32]ESTIMATE!G24</f>
        <v>41.82</v>
      </c>
      <c r="D10" s="94" t="s">
        <v>172</v>
      </c>
      <c r="E10" s="93">
        <f>[32]ESTIMATE!I24</f>
        <v>194.5</v>
      </c>
      <c r="F10" s="93">
        <f>[32]ESTIMATE!J24</f>
        <v>8133.99</v>
      </c>
    </row>
    <row r="11" spans="1:6" ht="15.75">
      <c r="A11" s="89">
        <f>[32]ESTIMATE!A25</f>
        <v>7</v>
      </c>
      <c r="B11" s="99" t="s">
        <v>12</v>
      </c>
      <c r="C11" s="94"/>
      <c r="D11" s="100"/>
      <c r="E11" s="101"/>
      <c r="F11" s="93"/>
    </row>
    <row r="12" spans="1:6" ht="15.75">
      <c r="A12" s="102" t="s">
        <v>13</v>
      </c>
      <c r="B12" s="103" t="s">
        <v>76</v>
      </c>
      <c r="C12" s="94">
        <f>C9*0.43</f>
        <v>27.3996</v>
      </c>
      <c r="D12" s="100" t="s">
        <v>15</v>
      </c>
      <c r="E12" s="1">
        <f>[32]ESTIMATE!I26</f>
        <v>744.66</v>
      </c>
      <c r="F12" s="93">
        <f>C12*E12</f>
        <v>20403.386135999997</v>
      </c>
    </row>
    <row r="13" spans="1:6" ht="15.75">
      <c r="A13" s="102" t="s">
        <v>16</v>
      </c>
      <c r="B13" s="103" t="s">
        <v>77</v>
      </c>
      <c r="C13" s="94">
        <f>C7</f>
        <v>31.86</v>
      </c>
      <c r="D13" s="100" t="s">
        <v>15</v>
      </c>
      <c r="E13" s="34">
        <f>[32]ESTIMATE!I27</f>
        <v>387.54</v>
      </c>
      <c r="F13" s="93">
        <f t="shared" ref="F13:F16" si="1">ROUND(C13*E13,2)</f>
        <v>12347.02</v>
      </c>
    </row>
    <row r="14" spans="1:6" ht="15.75">
      <c r="A14" s="102" t="s">
        <v>18</v>
      </c>
      <c r="B14" s="104" t="s">
        <v>78</v>
      </c>
      <c r="C14" s="94">
        <f>C9*0.86</f>
        <v>54.799199999999999</v>
      </c>
      <c r="D14" s="100" t="s">
        <v>15</v>
      </c>
      <c r="E14" s="34">
        <f>[32]ESTIMATE!I28</f>
        <v>342.9</v>
      </c>
      <c r="F14" s="93">
        <f t="shared" si="1"/>
        <v>18790.650000000001</v>
      </c>
    </row>
    <row r="15" spans="1:6" ht="15.75">
      <c r="A15" s="102" t="s">
        <v>20</v>
      </c>
      <c r="B15" s="104" t="s">
        <v>79</v>
      </c>
      <c r="C15" s="94">
        <f>C8</f>
        <v>53.53</v>
      </c>
      <c r="D15" s="100" t="s">
        <v>15</v>
      </c>
      <c r="E15" s="1">
        <f>[32]ESTIMATE!I29</f>
        <v>570.94000000000005</v>
      </c>
      <c r="F15" s="93">
        <f t="shared" si="1"/>
        <v>30562.42</v>
      </c>
    </row>
    <row r="16" spans="1:6" ht="15.75">
      <c r="A16" s="102" t="s">
        <v>22</v>
      </c>
      <c r="B16" s="96" t="s">
        <v>80</v>
      </c>
      <c r="C16" s="94">
        <f>C6</f>
        <v>105.78</v>
      </c>
      <c r="D16" s="100" t="s">
        <v>15</v>
      </c>
      <c r="E16" s="34">
        <f>[32]ESTIMATE!I30</f>
        <v>117.54</v>
      </c>
      <c r="F16" s="93">
        <f t="shared" si="1"/>
        <v>12433.38</v>
      </c>
    </row>
    <row r="17" spans="1:6" ht="15.75">
      <c r="A17" s="105"/>
      <c r="B17" s="105"/>
      <c r="C17" s="524" t="s">
        <v>24</v>
      </c>
      <c r="D17" s="524"/>
      <c r="E17" s="525"/>
      <c r="F17" s="93">
        <f>SUM(F5:F16)</f>
        <v>621088.35613600013</v>
      </c>
    </row>
    <row r="18" spans="1:6" ht="15.75">
      <c r="A18" s="105"/>
      <c r="B18" s="105"/>
      <c r="C18" s="528" t="s">
        <v>25</v>
      </c>
      <c r="D18" s="524"/>
      <c r="E18" s="525"/>
      <c r="F18" s="93">
        <f>F17*18%</f>
        <v>111795.90410448003</v>
      </c>
    </row>
    <row r="19" spans="1:6" ht="15.75">
      <c r="A19" s="105"/>
      <c r="B19" s="105"/>
      <c r="C19" s="528" t="s">
        <v>24</v>
      </c>
      <c r="D19" s="524"/>
      <c r="E19" s="525"/>
      <c r="F19" s="93">
        <f>SUM(F17:F18)</f>
        <v>732884.26024048019</v>
      </c>
    </row>
    <row r="20" spans="1:6" ht="15.75">
      <c r="A20" s="105"/>
      <c r="B20" s="105"/>
      <c r="C20" s="524" t="s">
        <v>26</v>
      </c>
      <c r="D20" s="524"/>
      <c r="E20" s="525"/>
      <c r="F20" s="93">
        <f>ROUND(F19*0.01,2)</f>
        <v>7328.84</v>
      </c>
    </row>
    <row r="21" spans="1:6" ht="15.75">
      <c r="A21" s="105"/>
      <c r="B21" s="105"/>
      <c r="C21" s="524" t="s">
        <v>24</v>
      </c>
      <c r="D21" s="524"/>
      <c r="E21" s="525"/>
      <c r="F21" s="95">
        <f>SUM(F19:F20)</f>
        <v>740213.10024048015</v>
      </c>
    </row>
    <row r="22" spans="1:6" ht="18.75">
      <c r="A22" s="105"/>
      <c r="B22" s="105"/>
      <c r="C22" s="524" t="s">
        <v>27</v>
      </c>
      <c r="D22" s="524"/>
      <c r="E22" s="525"/>
      <c r="F22" s="106"/>
    </row>
    <row r="23" spans="1:6" ht="18.75">
      <c r="A23" s="107"/>
      <c r="B23" s="107"/>
      <c r="C23" s="108"/>
      <c r="D23" s="108"/>
      <c r="E23" s="108"/>
      <c r="F23" s="109"/>
    </row>
    <row r="24" spans="1:6" ht="18.75">
      <c r="A24" s="107"/>
      <c r="B24" s="107"/>
      <c r="C24" s="108"/>
      <c r="D24" s="108"/>
      <c r="E24" s="108"/>
      <c r="F24" s="109"/>
    </row>
    <row r="25" spans="1:6">
      <c r="A25" s="19"/>
    </row>
    <row r="26" spans="1:6">
      <c r="A26" s="19"/>
    </row>
    <row r="27" spans="1:6" ht="18.75">
      <c r="A27" s="19"/>
      <c r="B27" s="21" t="s">
        <v>28</v>
      </c>
      <c r="C27" s="22" t="s">
        <v>29</v>
      </c>
      <c r="F27" s="185" t="s">
        <v>30</v>
      </c>
    </row>
    <row r="28" spans="1:6" ht="18.75">
      <c r="A28" s="19"/>
      <c r="B28" s="21" t="s">
        <v>31</v>
      </c>
      <c r="C28" s="22" t="s">
        <v>32</v>
      </c>
      <c r="F28" s="185" t="s">
        <v>31</v>
      </c>
    </row>
  </sheetData>
  <mergeCells count="9">
    <mergeCell ref="C20:E20"/>
    <mergeCell ref="C21:E21"/>
    <mergeCell ref="C22:E22"/>
    <mergeCell ref="A1:F1"/>
    <mergeCell ref="A2:F2"/>
    <mergeCell ref="A3:F3"/>
    <mergeCell ref="C17:E17"/>
    <mergeCell ref="C18:E18"/>
    <mergeCell ref="C19:E19"/>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F10"/>
  <sheetViews>
    <sheetView workbookViewId="0">
      <selection activeCell="A3" sqref="A3:F3"/>
    </sheetView>
  </sheetViews>
  <sheetFormatPr defaultColWidth="16.28515625" defaultRowHeight="15"/>
  <cols>
    <col min="1" max="1" width="10" style="19" customWidth="1"/>
    <col min="2" max="2" width="32.7109375" style="19" customWidth="1"/>
    <col min="3" max="3" width="14.42578125" style="19" customWidth="1"/>
    <col min="4" max="4" width="14.140625" style="19" customWidth="1"/>
    <col min="5" max="16384" width="16.28515625" style="19"/>
  </cols>
  <sheetData>
    <row r="1" spans="1:6" ht="18.75">
      <c r="A1" s="380" t="s">
        <v>0</v>
      </c>
      <c r="B1" s="380"/>
      <c r="C1" s="380"/>
      <c r="D1" s="380"/>
      <c r="E1" s="380"/>
      <c r="F1" s="380"/>
    </row>
    <row r="2" spans="1:6" ht="18.75">
      <c r="A2" s="380" t="s">
        <v>33</v>
      </c>
      <c r="B2" s="380"/>
      <c r="C2" s="380"/>
      <c r="D2" s="380"/>
      <c r="E2" s="380"/>
      <c r="F2" s="380"/>
    </row>
    <row r="3" spans="1:6" ht="36.75" customHeight="1">
      <c r="A3" s="529" t="s">
        <v>228</v>
      </c>
      <c r="B3" s="530"/>
      <c r="C3" s="530"/>
      <c r="D3" s="530"/>
      <c r="E3" s="530"/>
      <c r="F3" s="531"/>
    </row>
    <row r="4" spans="1:6">
      <c r="A4" s="153" t="s">
        <v>229</v>
      </c>
      <c r="B4" s="153" t="s">
        <v>230</v>
      </c>
      <c r="C4" s="153" t="s">
        <v>231</v>
      </c>
      <c r="D4" s="153" t="s">
        <v>5</v>
      </c>
      <c r="E4" s="153" t="s">
        <v>38</v>
      </c>
      <c r="F4" s="153" t="s">
        <v>39</v>
      </c>
    </row>
    <row r="5" spans="1:6" ht="49.5" customHeight="1">
      <c r="A5" s="29">
        <v>1</v>
      </c>
      <c r="B5" s="28" t="s">
        <v>232</v>
      </c>
      <c r="C5" s="29">
        <v>40</v>
      </c>
      <c r="D5" s="29" t="s">
        <v>233</v>
      </c>
      <c r="E5" s="29">
        <v>9500</v>
      </c>
      <c r="F5" s="29">
        <f>C5*E5</f>
        <v>380000</v>
      </c>
    </row>
    <row r="6" spans="1:6" ht="24" customHeight="1">
      <c r="A6" s="154"/>
      <c r="B6" s="532" t="s">
        <v>59</v>
      </c>
      <c r="C6" s="532"/>
      <c r="D6" s="532"/>
      <c r="E6" s="532"/>
      <c r="F6" s="29">
        <v>380000</v>
      </c>
    </row>
    <row r="7" spans="1:6" s="23" customFormat="1" ht="18.75" customHeight="1">
      <c r="A7" s="26"/>
      <c r="B7" s="26"/>
      <c r="C7" s="26"/>
      <c r="D7" s="26"/>
      <c r="E7" s="26" t="s">
        <v>60</v>
      </c>
      <c r="F7" s="26">
        <f>F6*18/100</f>
        <v>68400</v>
      </c>
    </row>
    <row r="8" spans="1:6" s="23" customFormat="1" ht="18.75" customHeight="1">
      <c r="A8" s="26"/>
      <c r="B8" s="26"/>
      <c r="C8" s="26"/>
      <c r="D8" s="26"/>
      <c r="E8" s="26"/>
      <c r="F8" s="26">
        <f>F7+F6</f>
        <v>448400</v>
      </c>
    </row>
    <row r="9" spans="1:6" s="23" customFormat="1" ht="18.75" customHeight="1">
      <c r="A9" s="26"/>
      <c r="B9" s="26"/>
      <c r="C9" s="26"/>
      <c r="D9" s="26"/>
      <c r="E9" s="26" t="s">
        <v>61</v>
      </c>
      <c r="F9" s="26">
        <f>F8*1/100</f>
        <v>4484</v>
      </c>
    </row>
    <row r="10" spans="1:6" s="23" customFormat="1" ht="18.75" customHeight="1">
      <c r="A10" s="26"/>
      <c r="B10" s="26"/>
      <c r="C10" s="26"/>
      <c r="D10" s="26"/>
      <c r="E10" s="26" t="s">
        <v>59</v>
      </c>
      <c r="F10" s="26">
        <f>F9+F8</f>
        <v>452884</v>
      </c>
    </row>
  </sheetData>
  <mergeCells count="4">
    <mergeCell ref="A1:F1"/>
    <mergeCell ref="A2:F2"/>
    <mergeCell ref="A3:F3"/>
    <mergeCell ref="B6:E6"/>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F61"/>
  <sheetViews>
    <sheetView topLeftCell="A10" workbookViewId="0">
      <selection activeCell="A3" sqref="A3:F3"/>
    </sheetView>
  </sheetViews>
  <sheetFormatPr defaultRowHeight="15"/>
  <cols>
    <col min="1" max="1" width="10.5703125" customWidth="1"/>
    <col min="2" max="2" width="43.42578125" customWidth="1"/>
    <col min="3" max="3" width="11.7109375" customWidth="1"/>
    <col min="4" max="4" width="5.42578125" bestFit="1" customWidth="1"/>
    <col min="5" max="5" width="14.28515625" customWidth="1"/>
    <col min="6" max="6" width="25.5703125" bestFit="1" customWidth="1"/>
  </cols>
  <sheetData>
    <row r="1" spans="1:6" ht="39" customHeight="1">
      <c r="A1" s="535" t="s">
        <v>62</v>
      </c>
      <c r="B1" s="536"/>
      <c r="C1" s="536"/>
      <c r="D1" s="536"/>
      <c r="E1" s="536"/>
      <c r="F1" s="537"/>
    </row>
    <row r="2" spans="1:6" ht="24.75" customHeight="1">
      <c r="A2" s="538" t="s">
        <v>279</v>
      </c>
      <c r="B2" s="539"/>
      <c r="C2" s="539"/>
      <c r="D2" s="539"/>
      <c r="E2" s="539"/>
      <c r="F2" s="540"/>
    </row>
    <row r="3" spans="1:6" ht="43.5" customHeight="1">
      <c r="A3" s="541" t="s">
        <v>280</v>
      </c>
      <c r="B3" s="542"/>
      <c r="C3" s="542"/>
      <c r="D3" s="542"/>
      <c r="E3" s="542"/>
      <c r="F3" s="543"/>
    </row>
    <row r="4" spans="1:6" ht="31.5">
      <c r="A4" s="156" t="s">
        <v>64</v>
      </c>
      <c r="B4" s="206" t="s">
        <v>3</v>
      </c>
      <c r="C4" s="207" t="s">
        <v>4</v>
      </c>
      <c r="D4" s="90" t="s">
        <v>5</v>
      </c>
      <c r="E4" s="208" t="s">
        <v>276</v>
      </c>
      <c r="F4" s="209" t="s">
        <v>277</v>
      </c>
    </row>
    <row r="5" spans="1:6" ht="81" customHeight="1">
      <c r="A5" s="89" t="s">
        <v>281</v>
      </c>
      <c r="B5" s="210" t="s">
        <v>282</v>
      </c>
      <c r="C5" s="211">
        <v>0.85</v>
      </c>
      <c r="D5" s="102" t="s">
        <v>158</v>
      </c>
      <c r="E5" s="208">
        <v>955.89</v>
      </c>
      <c r="F5" s="209">
        <v>812.14</v>
      </c>
    </row>
    <row r="6" spans="1:6" s="81" customFormat="1" ht="172.5" customHeight="1">
      <c r="A6" s="89" t="s">
        <v>283</v>
      </c>
      <c r="B6" s="210" t="s">
        <v>209</v>
      </c>
      <c r="C6" s="212">
        <v>6.57</v>
      </c>
      <c r="D6" s="102" t="s">
        <v>158</v>
      </c>
      <c r="E6" s="212">
        <v>167.33</v>
      </c>
      <c r="F6" s="209">
        <v>1099.6300000000001</v>
      </c>
    </row>
    <row r="7" spans="1:6" s="81" customFormat="1" ht="126">
      <c r="A7" s="89" t="s">
        <v>284</v>
      </c>
      <c r="B7" s="213" t="s">
        <v>211</v>
      </c>
      <c r="C7" s="212">
        <v>0.52</v>
      </c>
      <c r="D7" s="102" t="s">
        <v>158</v>
      </c>
      <c r="E7" s="212">
        <v>589.51</v>
      </c>
      <c r="F7" s="209">
        <v>305.52</v>
      </c>
    </row>
    <row r="8" spans="1:6" s="81" customFormat="1" ht="110.25">
      <c r="A8" s="89" t="s">
        <v>285</v>
      </c>
      <c r="B8" s="214" t="s">
        <v>213</v>
      </c>
      <c r="C8" s="212">
        <v>0.86</v>
      </c>
      <c r="D8" s="102" t="s">
        <v>158</v>
      </c>
      <c r="E8" s="212">
        <v>1756.4</v>
      </c>
      <c r="F8" s="209">
        <v>1517.14</v>
      </c>
    </row>
    <row r="9" spans="1:6" s="81" customFormat="1" ht="162" customHeight="1">
      <c r="A9" s="210" t="s">
        <v>286</v>
      </c>
      <c r="B9" s="208" t="s">
        <v>287</v>
      </c>
      <c r="C9" s="212">
        <v>2.4500000000000002</v>
      </c>
      <c r="D9" s="90" t="s">
        <v>158</v>
      </c>
      <c r="E9" s="212">
        <v>6082.45</v>
      </c>
      <c r="F9" s="209">
        <v>14903.81</v>
      </c>
    </row>
    <row r="10" spans="1:6" s="81" customFormat="1" ht="91.5" customHeight="1">
      <c r="A10" s="208" t="s">
        <v>288</v>
      </c>
      <c r="B10" s="208" t="s">
        <v>289</v>
      </c>
      <c r="C10" s="212">
        <v>1.04</v>
      </c>
      <c r="D10" s="215" t="s">
        <v>158</v>
      </c>
      <c r="E10" s="212">
        <v>6308.87</v>
      </c>
      <c r="F10" s="209">
        <v>6539.36</v>
      </c>
    </row>
    <row r="11" spans="1:6" s="81" customFormat="1" ht="93" customHeight="1">
      <c r="A11" s="105" t="s">
        <v>290</v>
      </c>
      <c r="B11" s="213" t="s">
        <v>291</v>
      </c>
      <c r="C11" s="212">
        <v>0.12</v>
      </c>
      <c r="D11" s="215" t="s">
        <v>158</v>
      </c>
      <c r="E11" s="212">
        <v>83314.02</v>
      </c>
      <c r="F11" s="209">
        <v>10257.620000000001</v>
      </c>
    </row>
    <row r="12" spans="1:6" s="81" customFormat="1" ht="156" customHeight="1">
      <c r="A12" s="105" t="str">
        <f>A11</f>
        <v xml:space="preserve">7  5.5.5   </v>
      </c>
      <c r="B12" s="213" t="s">
        <v>291</v>
      </c>
      <c r="C12" s="212">
        <v>0.18</v>
      </c>
      <c r="D12" s="215" t="s">
        <v>10</v>
      </c>
      <c r="E12" s="212">
        <v>82096.539999999994</v>
      </c>
      <c r="F12" s="209">
        <v>15161.59</v>
      </c>
    </row>
    <row r="13" spans="1:6" s="81" customFormat="1" ht="36" customHeight="1">
      <c r="A13" s="208" t="s">
        <v>292</v>
      </c>
      <c r="B13" s="213" t="s">
        <v>293</v>
      </c>
      <c r="C13" s="212"/>
      <c r="D13" s="215"/>
      <c r="E13" s="212"/>
      <c r="F13" s="209"/>
    </row>
    <row r="14" spans="1:6" s="81" customFormat="1" ht="33" customHeight="1">
      <c r="A14" s="105" t="s">
        <v>294</v>
      </c>
      <c r="B14" s="213" t="s">
        <v>295</v>
      </c>
      <c r="C14" s="212">
        <v>16.73</v>
      </c>
      <c r="D14" s="215" t="s">
        <v>172</v>
      </c>
      <c r="E14" s="212">
        <v>194.5</v>
      </c>
      <c r="F14" s="209">
        <v>3253.72</v>
      </c>
    </row>
    <row r="15" spans="1:6" s="81" customFormat="1" ht="15.75">
      <c r="A15" s="89">
        <v>9</v>
      </c>
      <c r="B15" s="216" t="s">
        <v>12</v>
      </c>
      <c r="C15" s="212"/>
      <c r="D15" s="215"/>
      <c r="E15" s="212"/>
      <c r="F15" s="209"/>
    </row>
    <row r="16" spans="1:6" s="81" customFormat="1" ht="15.75">
      <c r="A16" s="105"/>
      <c r="B16" s="90" t="s">
        <v>76</v>
      </c>
      <c r="C16" s="212">
        <v>1.5</v>
      </c>
      <c r="D16" s="215" t="s">
        <v>15</v>
      </c>
      <c r="E16" s="217">
        <v>744.66</v>
      </c>
      <c r="F16" s="209">
        <v>1116.5</v>
      </c>
    </row>
    <row r="17" spans="1:6" s="81" customFormat="1" ht="15.75">
      <c r="A17" s="105"/>
      <c r="B17" s="90" t="s">
        <v>218</v>
      </c>
      <c r="C17" s="212">
        <v>0.52</v>
      </c>
      <c r="D17" s="215" t="s">
        <v>15</v>
      </c>
      <c r="E17" s="217">
        <v>387.54</v>
      </c>
      <c r="F17" s="209">
        <v>200.85</v>
      </c>
    </row>
    <row r="18" spans="1:6" s="81" customFormat="1" ht="15.75">
      <c r="A18" s="105"/>
      <c r="B18" s="93" t="s">
        <v>219</v>
      </c>
      <c r="C18" s="212">
        <v>3</v>
      </c>
      <c r="D18" s="215" t="s">
        <v>15</v>
      </c>
      <c r="E18" s="217">
        <v>342.9</v>
      </c>
      <c r="F18" s="209">
        <v>1028.25</v>
      </c>
    </row>
    <row r="19" spans="1:6" s="81" customFormat="1" ht="15.75">
      <c r="A19" s="105"/>
      <c r="B19" s="93" t="s">
        <v>79</v>
      </c>
      <c r="C19" s="218">
        <v>0.86</v>
      </c>
      <c r="D19" s="215" t="s">
        <v>15</v>
      </c>
      <c r="E19" s="217">
        <v>570.94000000000005</v>
      </c>
      <c r="F19" s="209">
        <v>493.17</v>
      </c>
    </row>
    <row r="20" spans="1:6" s="81" customFormat="1" ht="15.75">
      <c r="A20" s="105"/>
      <c r="B20" s="209" t="s">
        <v>80</v>
      </c>
      <c r="C20" s="212">
        <v>6.57</v>
      </c>
      <c r="D20" s="215" t="s">
        <v>15</v>
      </c>
      <c r="E20" s="219">
        <v>117.54</v>
      </c>
      <c r="F20" s="209">
        <v>772.43</v>
      </c>
    </row>
    <row r="21" spans="1:6" ht="15.75">
      <c r="A21" s="105"/>
      <c r="B21" s="105"/>
      <c r="C21" s="533" t="s">
        <v>59</v>
      </c>
      <c r="D21" s="533"/>
      <c r="E21" s="534"/>
      <c r="F21" s="93">
        <f>SUM(F6:F20)</f>
        <v>56649.59</v>
      </c>
    </row>
    <row r="22" spans="1:6" ht="15.75">
      <c r="A22" s="220"/>
      <c r="B22" s="105"/>
      <c r="C22" s="533" t="s">
        <v>296</v>
      </c>
      <c r="D22" s="533"/>
      <c r="E22" s="534"/>
      <c r="F22" s="93">
        <f>F21*18%</f>
        <v>10196.9262</v>
      </c>
    </row>
    <row r="23" spans="1:6" ht="15.75">
      <c r="A23" s="105"/>
      <c r="B23" s="105"/>
      <c r="C23" s="221"/>
      <c r="D23" s="221"/>
      <c r="E23" s="222" t="s">
        <v>59</v>
      </c>
      <c r="F23" s="93">
        <f>F21+F22</f>
        <v>66846.516199999998</v>
      </c>
    </row>
    <row r="24" spans="1:6" ht="15.75">
      <c r="A24" s="105"/>
      <c r="B24" s="105"/>
      <c r="C24" s="533" t="s">
        <v>297</v>
      </c>
      <c r="D24" s="533"/>
      <c r="E24" s="534"/>
      <c r="F24" s="93">
        <f>F23*1%</f>
        <v>668.46516199999996</v>
      </c>
    </row>
    <row r="25" spans="1:6" ht="15.75">
      <c r="A25" s="105"/>
      <c r="B25" s="105"/>
      <c r="C25" s="533" t="s">
        <v>59</v>
      </c>
      <c r="D25" s="533"/>
      <c r="E25" s="534"/>
      <c r="F25" s="93">
        <f>F23+F24</f>
        <v>67514.981361999991</v>
      </c>
    </row>
    <row r="26" spans="1:6" ht="15.75">
      <c r="A26" s="105"/>
      <c r="B26" s="105"/>
      <c r="C26" s="533"/>
      <c r="D26" s="533"/>
      <c r="E26" s="534"/>
      <c r="F26" s="223"/>
    </row>
    <row r="27" spans="1:6" ht="15.75">
      <c r="A27" s="224"/>
      <c r="B27" s="16"/>
      <c r="C27" s="16"/>
      <c r="D27" s="16"/>
      <c r="E27" s="16"/>
      <c r="F27" s="205"/>
    </row>
    <row r="28" spans="1:6" ht="44.25" customHeight="1">
      <c r="A28" s="224"/>
      <c r="B28" s="16"/>
      <c r="C28" s="16"/>
      <c r="D28" s="16"/>
      <c r="E28" s="16"/>
      <c r="F28" s="205"/>
    </row>
    <row r="29" spans="1:6" ht="21">
      <c r="A29" s="224"/>
      <c r="B29" s="225"/>
      <c r="C29" s="226"/>
      <c r="D29" s="226"/>
      <c r="E29" s="226"/>
      <c r="F29" s="225"/>
    </row>
    <row r="30" spans="1:6" ht="21">
      <c r="A30" s="224"/>
      <c r="B30" s="225"/>
      <c r="C30" s="226"/>
      <c r="D30" s="226"/>
      <c r="E30" s="226"/>
      <c r="F30" s="225"/>
    </row>
    <row r="31" spans="1:6">
      <c r="C31" s="201"/>
      <c r="D31" s="201"/>
      <c r="E31" s="201"/>
      <c r="F31" s="201"/>
    </row>
    <row r="32" spans="1:6">
      <c r="C32" s="201"/>
      <c r="D32" s="201"/>
      <c r="E32" s="201"/>
      <c r="F32" s="201"/>
    </row>
    <row r="33" spans="3:6">
      <c r="C33" s="201"/>
      <c r="D33" s="201"/>
      <c r="E33" s="201"/>
      <c r="F33" s="201"/>
    </row>
    <row r="34" spans="3:6">
      <c r="C34" s="201"/>
      <c r="D34" s="201"/>
      <c r="E34" s="201"/>
      <c r="F34" s="201"/>
    </row>
    <row r="35" spans="3:6">
      <c r="C35" s="201"/>
      <c r="D35" s="201"/>
      <c r="E35" s="201"/>
      <c r="F35" s="201"/>
    </row>
    <row r="36" spans="3:6">
      <c r="C36" s="201"/>
      <c r="D36" s="201"/>
      <c r="E36" s="201"/>
      <c r="F36" s="201"/>
    </row>
    <row r="37" spans="3:6">
      <c r="C37" s="201"/>
      <c r="D37" s="201"/>
      <c r="E37" s="201"/>
      <c r="F37" s="201"/>
    </row>
    <row r="38" spans="3:6">
      <c r="C38" s="201"/>
      <c r="D38" s="201"/>
      <c r="E38" s="201"/>
      <c r="F38" s="201"/>
    </row>
    <row r="39" spans="3:6">
      <c r="C39" s="201"/>
      <c r="D39" s="201"/>
      <c r="E39" s="201"/>
      <c r="F39" s="201"/>
    </row>
    <row r="40" spans="3:6">
      <c r="C40" s="201"/>
      <c r="D40" s="201"/>
      <c r="E40" s="201"/>
      <c r="F40" s="201"/>
    </row>
    <row r="41" spans="3:6">
      <c r="C41" s="201"/>
      <c r="D41" s="201"/>
      <c r="E41" s="201"/>
      <c r="F41" s="201"/>
    </row>
    <row r="42" spans="3:6">
      <c r="C42" s="201"/>
      <c r="D42" s="201"/>
      <c r="E42" s="201"/>
      <c r="F42" s="201"/>
    </row>
    <row r="43" spans="3:6">
      <c r="C43" s="201"/>
      <c r="D43" s="201"/>
      <c r="E43" s="201"/>
      <c r="F43" s="201"/>
    </row>
    <row r="44" spans="3:6">
      <c r="C44" s="201"/>
      <c r="D44" s="201"/>
      <c r="E44" s="201"/>
      <c r="F44" s="201"/>
    </row>
    <row r="45" spans="3:6">
      <c r="C45" s="201"/>
      <c r="D45" s="201"/>
      <c r="E45" s="201"/>
      <c r="F45" s="201"/>
    </row>
    <row r="46" spans="3:6">
      <c r="C46" s="201"/>
      <c r="D46" s="201"/>
      <c r="E46" s="201"/>
      <c r="F46" s="201"/>
    </row>
    <row r="47" spans="3:6">
      <c r="C47" s="201"/>
      <c r="D47" s="201"/>
      <c r="E47" s="201"/>
      <c r="F47" s="201"/>
    </row>
    <row r="48" spans="3:6">
      <c r="C48" s="201"/>
      <c r="D48" s="201"/>
      <c r="E48" s="201"/>
      <c r="F48" s="201"/>
    </row>
    <row r="49" spans="3:6">
      <c r="C49" s="201"/>
      <c r="D49" s="201"/>
      <c r="E49" s="201"/>
      <c r="F49" s="201"/>
    </row>
    <row r="50" spans="3:6">
      <c r="C50" s="201"/>
      <c r="D50" s="201"/>
      <c r="E50" s="201"/>
      <c r="F50" s="201"/>
    </row>
    <row r="51" spans="3:6">
      <c r="C51" s="201"/>
      <c r="D51" s="201"/>
      <c r="E51" s="201"/>
      <c r="F51" s="201"/>
    </row>
    <row r="52" spans="3:6">
      <c r="C52" s="201"/>
      <c r="D52" s="201"/>
      <c r="E52" s="201"/>
      <c r="F52" s="201"/>
    </row>
    <row r="53" spans="3:6">
      <c r="C53" s="201"/>
      <c r="D53" s="201"/>
      <c r="E53" s="201"/>
      <c r="F53" s="201"/>
    </row>
    <row r="54" spans="3:6">
      <c r="C54" s="201"/>
      <c r="D54" s="201"/>
      <c r="E54" s="201"/>
      <c r="F54" s="201"/>
    </row>
    <row r="55" spans="3:6">
      <c r="C55" s="201"/>
      <c r="D55" s="201"/>
      <c r="E55" s="201"/>
      <c r="F55" s="201"/>
    </row>
    <row r="56" spans="3:6">
      <c r="C56" s="201"/>
      <c r="D56" s="201"/>
      <c r="E56" s="201"/>
      <c r="F56" s="201"/>
    </row>
    <row r="57" spans="3:6">
      <c r="C57" s="201"/>
      <c r="D57" s="201"/>
      <c r="E57" s="201"/>
      <c r="F57" s="201"/>
    </row>
    <row r="58" spans="3:6">
      <c r="C58" s="201"/>
      <c r="D58" s="201"/>
      <c r="E58" s="201"/>
      <c r="F58" s="201"/>
    </row>
    <row r="59" spans="3:6">
      <c r="C59" s="201"/>
      <c r="D59" s="201"/>
      <c r="E59" s="201"/>
      <c r="F59" s="201"/>
    </row>
    <row r="60" spans="3:6">
      <c r="C60" s="201"/>
      <c r="D60" s="201"/>
      <c r="E60" s="201"/>
      <c r="F60" s="201"/>
    </row>
    <row r="61" spans="3:6">
      <c r="C61" s="201"/>
      <c r="D61" s="201"/>
      <c r="E61" s="201"/>
      <c r="F61" s="201"/>
    </row>
  </sheetData>
  <mergeCells count="8">
    <mergeCell ref="C25:E25"/>
    <mergeCell ref="C26:E26"/>
    <mergeCell ref="A1:F1"/>
    <mergeCell ref="A2:F2"/>
    <mergeCell ref="A3:F3"/>
    <mergeCell ref="C21:E21"/>
    <mergeCell ref="C22:E22"/>
    <mergeCell ref="C24:E24"/>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F52"/>
  <sheetViews>
    <sheetView workbookViewId="0">
      <selection activeCell="A3" sqref="A3:F3"/>
    </sheetView>
  </sheetViews>
  <sheetFormatPr defaultRowHeight="15"/>
  <cols>
    <col min="1" max="1" width="9" customWidth="1"/>
    <col min="2" max="2" width="44.140625" customWidth="1"/>
    <col min="3" max="3" width="11.7109375" customWidth="1"/>
    <col min="4" max="4" width="5.28515625" customWidth="1"/>
    <col min="5" max="5" width="11.7109375" customWidth="1"/>
    <col min="6" max="6" width="20.28515625" customWidth="1"/>
  </cols>
  <sheetData>
    <row r="1" spans="1:6">
      <c r="A1" s="546" t="s">
        <v>62</v>
      </c>
      <c r="B1" s="547"/>
      <c r="C1" s="547"/>
      <c r="D1" s="547"/>
      <c r="E1" s="547"/>
      <c r="F1" s="547"/>
    </row>
    <row r="2" spans="1:6">
      <c r="A2" s="548" t="s">
        <v>75</v>
      </c>
      <c r="B2" s="548"/>
      <c r="C2" s="548"/>
      <c r="D2" s="548"/>
      <c r="E2" s="548"/>
      <c r="F2" s="548"/>
    </row>
    <row r="3" spans="1:6" ht="33" customHeight="1">
      <c r="A3" s="549" t="s">
        <v>275</v>
      </c>
      <c r="B3" s="549"/>
      <c r="C3" s="549"/>
      <c r="D3" s="549"/>
      <c r="E3" s="549"/>
      <c r="F3" s="549"/>
    </row>
    <row r="4" spans="1:6" ht="30">
      <c r="A4" s="28" t="s">
        <v>64</v>
      </c>
      <c r="B4" s="29" t="s">
        <v>3</v>
      </c>
      <c r="C4" s="187" t="s">
        <v>4</v>
      </c>
      <c r="D4" s="29" t="s">
        <v>5</v>
      </c>
      <c r="E4" s="143" t="s">
        <v>276</v>
      </c>
      <c r="F4" s="150" t="s">
        <v>277</v>
      </c>
    </row>
    <row r="5" spans="1:6" ht="87" customHeight="1">
      <c r="A5" s="28" t="s">
        <v>208</v>
      </c>
      <c r="B5" s="138" t="s">
        <v>209</v>
      </c>
      <c r="C5" s="144">
        <v>45.53</v>
      </c>
      <c r="D5" s="134" t="s">
        <v>15</v>
      </c>
      <c r="E5" s="134">
        <v>167.33</v>
      </c>
      <c r="F5" s="134">
        <f>C5*E5</f>
        <v>7618.5349000000006</v>
      </c>
    </row>
    <row r="6" spans="1:6" ht="105.75" customHeight="1">
      <c r="A6" s="28" t="s">
        <v>210</v>
      </c>
      <c r="B6" s="139" t="s">
        <v>211</v>
      </c>
      <c r="C6" s="134">
        <v>16.989999999999998</v>
      </c>
      <c r="D6" s="134" t="s">
        <v>15</v>
      </c>
      <c r="E6" s="134">
        <v>589.51</v>
      </c>
      <c r="F6" s="134">
        <f>PRODUCT(C6,E6)</f>
        <v>10015.774899999999</v>
      </c>
    </row>
    <row r="7" spans="1:6" ht="90">
      <c r="A7" s="28" t="s">
        <v>212</v>
      </c>
      <c r="B7" s="140" t="s">
        <v>213</v>
      </c>
      <c r="C7" s="134">
        <v>28.315999999999999</v>
      </c>
      <c r="D7" s="134" t="s">
        <v>15</v>
      </c>
      <c r="E7" s="134">
        <v>1756.4</v>
      </c>
      <c r="F7" s="134">
        <f>PRODUCT(C7,E7)</f>
        <v>49734.222399999999</v>
      </c>
    </row>
    <row r="8" spans="1:6" ht="60">
      <c r="A8" s="141" t="s">
        <v>214</v>
      </c>
      <c r="B8" s="142" t="s">
        <v>215</v>
      </c>
      <c r="C8" s="134">
        <v>31.6</v>
      </c>
      <c r="D8" s="134" t="s">
        <v>91</v>
      </c>
      <c r="E8" s="29">
        <v>194.5</v>
      </c>
      <c r="F8" s="134">
        <f>PRODUCT(C8,E8)</f>
        <v>6146.2000000000007</v>
      </c>
    </row>
    <row r="9" spans="1:6" ht="90">
      <c r="A9" s="143" t="s">
        <v>278</v>
      </c>
      <c r="B9" s="143" t="s">
        <v>217</v>
      </c>
      <c r="C9" s="144">
        <v>48.145000000000003</v>
      </c>
      <c r="D9" s="134" t="s">
        <v>158</v>
      </c>
      <c r="E9" s="134">
        <v>4961.7299999999996</v>
      </c>
      <c r="F9" s="134">
        <f>PRODUCT(C9,E9)</f>
        <v>238882.49085</v>
      </c>
    </row>
    <row r="10" spans="1:6">
      <c r="A10" s="28">
        <v>6</v>
      </c>
      <c r="B10" s="145" t="s">
        <v>12</v>
      </c>
      <c r="C10" s="146"/>
      <c r="D10" s="147"/>
      <c r="E10" s="148"/>
      <c r="F10" s="146"/>
    </row>
    <row r="11" spans="1:6">
      <c r="A11" s="141"/>
      <c r="B11" s="29" t="s">
        <v>76</v>
      </c>
      <c r="C11" s="147">
        <v>20.7</v>
      </c>
      <c r="D11" s="147" t="s">
        <v>15</v>
      </c>
      <c r="E11" s="134">
        <v>744.66</v>
      </c>
      <c r="F11" s="147">
        <f>PRODUCT(C11:E11)</f>
        <v>15414.462</v>
      </c>
    </row>
    <row r="12" spans="1:6">
      <c r="A12" s="141"/>
      <c r="B12" s="29" t="s">
        <v>218</v>
      </c>
      <c r="C12" s="147">
        <v>16.989999999999998</v>
      </c>
      <c r="D12" s="147" t="s">
        <v>15</v>
      </c>
      <c r="E12" s="134">
        <v>387.54</v>
      </c>
      <c r="F12" s="147">
        <f>PRODUCT(C12:E12)</f>
        <v>6584.3045999999995</v>
      </c>
    </row>
    <row r="13" spans="1:6">
      <c r="A13" s="141"/>
      <c r="B13" s="134" t="s">
        <v>219</v>
      </c>
      <c r="C13" s="147">
        <v>41.4</v>
      </c>
      <c r="D13" s="147" t="s">
        <v>15</v>
      </c>
      <c r="E13" s="134">
        <v>342.9</v>
      </c>
      <c r="F13" s="147">
        <f>PRODUCT(C13:E13)</f>
        <v>14196.059999999998</v>
      </c>
    </row>
    <row r="14" spans="1:6">
      <c r="A14" s="141"/>
      <c r="B14" s="134" t="s">
        <v>79</v>
      </c>
      <c r="C14" s="149">
        <v>28.32</v>
      </c>
      <c r="D14" s="147" t="s">
        <v>15</v>
      </c>
      <c r="E14" s="134">
        <v>570.94000000000005</v>
      </c>
      <c r="F14" s="147">
        <f>PRODUCT(C14:E14)</f>
        <v>16169.020800000002</v>
      </c>
    </row>
    <row r="15" spans="1:6">
      <c r="A15" s="141"/>
      <c r="B15" s="150" t="s">
        <v>80</v>
      </c>
      <c r="C15" s="147">
        <v>45.53</v>
      </c>
      <c r="D15" s="147" t="s">
        <v>15</v>
      </c>
      <c r="E15" s="150">
        <v>117.54</v>
      </c>
      <c r="F15" s="147">
        <f>PRODUCT(C15:E15)</f>
        <v>5351.5962000000009</v>
      </c>
    </row>
    <row r="16" spans="1:6">
      <c r="A16" s="141"/>
      <c r="B16" s="141"/>
      <c r="C16" s="544" t="s">
        <v>59</v>
      </c>
      <c r="D16" s="544"/>
      <c r="E16" s="545"/>
      <c r="F16" s="134">
        <f>SUM(F5:F15)</f>
        <v>370112.66665000003</v>
      </c>
    </row>
    <row r="17" spans="1:6">
      <c r="A17" s="141"/>
      <c r="B17" s="141"/>
      <c r="C17" s="544" t="s">
        <v>220</v>
      </c>
      <c r="D17" s="544"/>
      <c r="E17" s="545"/>
      <c r="F17" s="134">
        <f>F16*18%</f>
        <v>66620.279997000005</v>
      </c>
    </row>
    <row r="18" spans="1:6">
      <c r="A18" s="141"/>
      <c r="B18" s="141"/>
      <c r="C18" s="157"/>
      <c r="D18" s="157"/>
      <c r="E18" s="158" t="s">
        <v>59</v>
      </c>
      <c r="F18" s="134">
        <f>F16+F17</f>
        <v>436732.94664700003</v>
      </c>
    </row>
    <row r="19" spans="1:6">
      <c r="A19" s="141"/>
      <c r="B19" s="141"/>
      <c r="C19" s="544" t="s">
        <v>221</v>
      </c>
      <c r="D19" s="544"/>
      <c r="E19" s="545"/>
      <c r="F19" s="134">
        <f>PRODUCT(F18,0.01)</f>
        <v>4367.3294664700006</v>
      </c>
    </row>
    <row r="20" spans="1:6">
      <c r="A20" s="141"/>
      <c r="B20" s="141"/>
      <c r="C20" s="544" t="s">
        <v>59</v>
      </c>
      <c r="D20" s="544"/>
      <c r="E20" s="545"/>
      <c r="F20" s="134">
        <f>F18+F19</f>
        <v>441100.27611347003</v>
      </c>
    </row>
    <row r="21" spans="1:6" ht="15.75">
      <c r="A21" s="204"/>
      <c r="B21" s="205"/>
      <c r="C21" s="205"/>
      <c r="D21" s="205"/>
      <c r="E21" s="205"/>
      <c r="F21" s="205"/>
    </row>
    <row r="22" spans="1:6" ht="15.75">
      <c r="A22" s="204"/>
      <c r="B22" s="205"/>
      <c r="C22" s="205"/>
      <c r="D22" s="205"/>
      <c r="E22" s="205"/>
      <c r="F22" s="205"/>
    </row>
    <row r="23" spans="1:6">
      <c r="C23" s="201"/>
      <c r="D23" s="201"/>
      <c r="E23" s="201"/>
      <c r="F23" s="201"/>
    </row>
    <row r="24" spans="1:6">
      <c r="C24" s="201"/>
      <c r="D24" s="201"/>
      <c r="E24" s="201"/>
      <c r="F24" s="201"/>
    </row>
    <row r="25" spans="1:6">
      <c r="C25" s="201"/>
      <c r="D25" s="201"/>
      <c r="E25" s="201"/>
      <c r="F25" s="201"/>
    </row>
    <row r="26" spans="1:6">
      <c r="C26" s="201"/>
      <c r="D26" s="201"/>
      <c r="E26" s="201"/>
      <c r="F26" s="201"/>
    </row>
    <row r="27" spans="1:6">
      <c r="C27" s="201"/>
      <c r="D27" s="201"/>
      <c r="E27" s="201"/>
      <c r="F27" s="201"/>
    </row>
    <row r="28" spans="1:6">
      <c r="C28" s="201"/>
      <c r="D28" s="201"/>
      <c r="E28" s="201"/>
      <c r="F28" s="201"/>
    </row>
    <row r="29" spans="1:6">
      <c r="C29" s="201"/>
      <c r="D29" s="201"/>
      <c r="E29" s="201"/>
      <c r="F29" s="201"/>
    </row>
    <row r="30" spans="1:6">
      <c r="C30" s="201"/>
      <c r="D30" s="201"/>
      <c r="E30" s="201"/>
      <c r="F30" s="201"/>
    </row>
    <row r="31" spans="1:6">
      <c r="C31" s="201"/>
      <c r="D31" s="201"/>
      <c r="E31" s="201"/>
      <c r="F31" s="201"/>
    </row>
    <row r="32" spans="1:6">
      <c r="C32" s="201"/>
      <c r="D32" s="201"/>
      <c r="E32" s="201"/>
      <c r="F32" s="201"/>
    </row>
    <row r="33" spans="3:6">
      <c r="C33" s="201"/>
      <c r="D33" s="201"/>
      <c r="E33" s="201"/>
      <c r="F33" s="201"/>
    </row>
    <row r="34" spans="3:6">
      <c r="C34" s="201"/>
      <c r="D34" s="201"/>
      <c r="E34" s="201"/>
      <c r="F34" s="201"/>
    </row>
    <row r="35" spans="3:6">
      <c r="C35" s="201"/>
      <c r="D35" s="201"/>
      <c r="E35" s="201"/>
      <c r="F35" s="201"/>
    </row>
    <row r="36" spans="3:6">
      <c r="C36" s="201"/>
      <c r="D36" s="201"/>
      <c r="E36" s="201"/>
      <c r="F36" s="201"/>
    </row>
    <row r="37" spans="3:6">
      <c r="C37" s="201"/>
      <c r="D37" s="201"/>
      <c r="E37" s="201"/>
      <c r="F37" s="201"/>
    </row>
    <row r="38" spans="3:6">
      <c r="C38" s="201"/>
      <c r="D38" s="201"/>
      <c r="E38" s="201"/>
      <c r="F38" s="201"/>
    </row>
    <row r="39" spans="3:6">
      <c r="C39" s="201"/>
      <c r="D39" s="201"/>
      <c r="E39" s="201"/>
      <c r="F39" s="201"/>
    </row>
    <row r="40" spans="3:6">
      <c r="C40" s="201"/>
      <c r="D40" s="201"/>
      <c r="E40" s="201"/>
      <c r="F40" s="201"/>
    </row>
    <row r="41" spans="3:6">
      <c r="C41" s="201"/>
      <c r="D41" s="201"/>
      <c r="E41" s="201"/>
      <c r="F41" s="201"/>
    </row>
    <row r="42" spans="3:6">
      <c r="C42" s="201"/>
      <c r="D42" s="201"/>
      <c r="E42" s="201"/>
      <c r="F42" s="201"/>
    </row>
    <row r="43" spans="3:6">
      <c r="C43" s="201"/>
      <c r="D43" s="201"/>
      <c r="E43" s="201"/>
      <c r="F43" s="201"/>
    </row>
    <row r="44" spans="3:6">
      <c r="C44" s="201"/>
      <c r="D44" s="201"/>
      <c r="E44" s="201"/>
      <c r="F44" s="201"/>
    </row>
    <row r="45" spans="3:6">
      <c r="C45" s="201"/>
      <c r="D45" s="201"/>
      <c r="E45" s="201"/>
      <c r="F45" s="201"/>
    </row>
    <row r="46" spans="3:6">
      <c r="C46" s="201"/>
      <c r="D46" s="201"/>
      <c r="E46" s="201"/>
      <c r="F46" s="201"/>
    </row>
    <row r="47" spans="3:6">
      <c r="C47" s="201"/>
      <c r="D47" s="201"/>
      <c r="E47" s="201"/>
      <c r="F47" s="201"/>
    </row>
    <row r="48" spans="3:6">
      <c r="C48" s="201"/>
      <c r="D48" s="201"/>
      <c r="E48" s="201"/>
      <c r="F48" s="201"/>
    </row>
    <row r="49" spans="3:6">
      <c r="C49" s="201"/>
      <c r="D49" s="201"/>
      <c r="E49" s="201"/>
      <c r="F49" s="201"/>
    </row>
    <row r="50" spans="3:6">
      <c r="C50" s="201"/>
      <c r="D50" s="201"/>
      <c r="E50" s="201"/>
      <c r="F50" s="201"/>
    </row>
    <row r="51" spans="3:6">
      <c r="C51" s="201"/>
      <c r="D51" s="201"/>
      <c r="E51" s="201"/>
      <c r="F51" s="201"/>
    </row>
    <row r="52" spans="3:6">
      <c r="C52" s="201"/>
      <c r="D52" s="201"/>
      <c r="E52" s="201"/>
      <c r="F52" s="201"/>
    </row>
  </sheetData>
  <mergeCells count="7">
    <mergeCell ref="C20:E20"/>
    <mergeCell ref="A1:F1"/>
    <mergeCell ref="A2:F2"/>
    <mergeCell ref="A3:F3"/>
    <mergeCell ref="C16:E16"/>
    <mergeCell ref="C17:E17"/>
    <mergeCell ref="C19:E19"/>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30"/>
    <col min="2" max="2" width="45.28515625" style="31" customWidth="1"/>
    <col min="3" max="3" width="9.28515625" style="23" customWidth="1"/>
    <col min="4" max="4" width="9.140625" style="32"/>
    <col min="5" max="5" width="9.7109375" style="23" bestFit="1" customWidth="1"/>
    <col min="6" max="6" width="16.42578125" style="33" customWidth="1"/>
    <col min="7" max="16384" width="9.140625" style="23"/>
  </cols>
  <sheetData>
    <row r="1" spans="1:6" ht="18.75">
      <c r="A1" s="380" t="s">
        <v>0</v>
      </c>
      <c r="B1" s="380"/>
      <c r="C1" s="380"/>
      <c r="D1" s="380"/>
      <c r="E1" s="380"/>
      <c r="F1" s="380"/>
    </row>
    <row r="2" spans="1:6" ht="18.75">
      <c r="A2" s="380" t="s">
        <v>33</v>
      </c>
      <c r="B2" s="380"/>
      <c r="C2" s="380"/>
      <c r="D2" s="380"/>
      <c r="E2" s="380"/>
      <c r="F2" s="380"/>
    </row>
    <row r="3" spans="1:6" ht="62.25" customHeight="1">
      <c r="A3" s="550" t="s">
        <v>207</v>
      </c>
      <c r="B3" s="551"/>
      <c r="C3" s="551"/>
      <c r="D3" s="551"/>
      <c r="E3" s="551"/>
      <c r="F3" s="552"/>
    </row>
    <row r="4" spans="1:6">
      <c r="A4" s="24" t="s">
        <v>35</v>
      </c>
      <c r="B4" s="24" t="s">
        <v>36</v>
      </c>
      <c r="C4" s="24" t="s">
        <v>37</v>
      </c>
      <c r="D4" s="24" t="s">
        <v>5</v>
      </c>
      <c r="E4" s="24" t="s">
        <v>38</v>
      </c>
      <c r="F4" s="24" t="s">
        <v>39</v>
      </c>
    </row>
    <row r="5" spans="1:6" customFormat="1" ht="147.75" customHeight="1">
      <c r="A5" s="28" t="s">
        <v>208</v>
      </c>
      <c r="B5" s="138" t="s">
        <v>209</v>
      </c>
      <c r="C5" s="134">
        <v>22.77</v>
      </c>
      <c r="D5" s="134" t="s">
        <v>15</v>
      </c>
      <c r="E5" s="134">
        <v>167.33</v>
      </c>
      <c r="F5" s="134">
        <f>PRODUCT(C5,E5)</f>
        <v>3810.1041</v>
      </c>
    </row>
    <row r="6" spans="1:6" customFormat="1" ht="105.75" customHeight="1">
      <c r="A6" s="28" t="s">
        <v>210</v>
      </c>
      <c r="B6" s="139" t="s">
        <v>211</v>
      </c>
      <c r="C6" s="134">
        <v>2.72</v>
      </c>
      <c r="D6" s="134" t="s">
        <v>15</v>
      </c>
      <c r="E6" s="134">
        <v>589.51</v>
      </c>
      <c r="F6" s="134">
        <f t="shared" ref="F6:F9" si="0">PRODUCT(C6,E6)</f>
        <v>1603.4672</v>
      </c>
    </row>
    <row r="7" spans="1:6" customFormat="1" ht="90">
      <c r="A7" s="28" t="s">
        <v>212</v>
      </c>
      <c r="B7" s="140" t="s">
        <v>213</v>
      </c>
      <c r="C7" s="134">
        <v>14.16</v>
      </c>
      <c r="D7" s="134" t="s">
        <v>15</v>
      </c>
      <c r="E7" s="134">
        <v>1756.4</v>
      </c>
      <c r="F7" s="134">
        <f t="shared" si="0"/>
        <v>24870.624</v>
      </c>
    </row>
    <row r="8" spans="1:6" customFormat="1" ht="60">
      <c r="A8" s="141" t="s">
        <v>214</v>
      </c>
      <c r="B8" s="142" t="s">
        <v>215</v>
      </c>
      <c r="C8" s="134">
        <v>46.47</v>
      </c>
      <c r="D8" s="134" t="s">
        <v>91</v>
      </c>
      <c r="E8" s="29">
        <v>194.5</v>
      </c>
      <c r="F8" s="134">
        <f t="shared" si="0"/>
        <v>9038.4149999999991</v>
      </c>
    </row>
    <row r="9" spans="1:6" customFormat="1" ht="75">
      <c r="A9" s="143" t="s">
        <v>216</v>
      </c>
      <c r="B9" s="143" t="s">
        <v>217</v>
      </c>
      <c r="C9" s="144">
        <v>84.962000000000003</v>
      </c>
      <c r="D9" s="134" t="s">
        <v>158</v>
      </c>
      <c r="E9" s="134">
        <v>4961.7299999999996</v>
      </c>
      <c r="F9" s="134">
        <f t="shared" si="0"/>
        <v>421558.50425999996</v>
      </c>
    </row>
    <row r="10" spans="1:6" customFormat="1">
      <c r="A10" s="28">
        <v>6</v>
      </c>
      <c r="B10" s="145" t="s">
        <v>12</v>
      </c>
      <c r="C10" s="146"/>
      <c r="D10" s="147"/>
      <c r="E10" s="148"/>
      <c r="F10" s="146"/>
    </row>
    <row r="11" spans="1:6" customFormat="1">
      <c r="A11" s="141"/>
      <c r="B11" s="29" t="s">
        <v>76</v>
      </c>
      <c r="C11" s="147">
        <v>36.53</v>
      </c>
      <c r="D11" s="147" t="s">
        <v>15</v>
      </c>
      <c r="E11" s="134">
        <v>744.66</v>
      </c>
      <c r="F11" s="147">
        <f t="shared" ref="F11:F15" si="1">PRODUCT(C11:E11)</f>
        <v>27202.429799999998</v>
      </c>
    </row>
    <row r="12" spans="1:6" customFormat="1">
      <c r="A12" s="141"/>
      <c r="B12" s="29" t="s">
        <v>218</v>
      </c>
      <c r="C12" s="147">
        <v>2.72</v>
      </c>
      <c r="D12" s="147" t="s">
        <v>15</v>
      </c>
      <c r="E12" s="134">
        <v>387.54</v>
      </c>
      <c r="F12" s="147">
        <f t="shared" si="1"/>
        <v>1054.1088000000002</v>
      </c>
    </row>
    <row r="13" spans="1:6" customFormat="1">
      <c r="A13" s="141"/>
      <c r="B13" s="134" t="s">
        <v>219</v>
      </c>
      <c r="C13" s="147">
        <v>73.069999999999993</v>
      </c>
      <c r="D13" s="147" t="s">
        <v>15</v>
      </c>
      <c r="E13" s="134">
        <v>342.9</v>
      </c>
      <c r="F13" s="147">
        <f t="shared" si="1"/>
        <v>25055.702999999998</v>
      </c>
    </row>
    <row r="14" spans="1:6" customFormat="1">
      <c r="A14" s="141"/>
      <c r="B14" s="134" t="s">
        <v>79</v>
      </c>
      <c r="C14" s="149">
        <v>14.16</v>
      </c>
      <c r="D14" s="147" t="s">
        <v>15</v>
      </c>
      <c r="E14" s="134">
        <v>570.94000000000005</v>
      </c>
      <c r="F14" s="147">
        <f t="shared" si="1"/>
        <v>8084.510400000001</v>
      </c>
    </row>
    <row r="15" spans="1:6" customFormat="1">
      <c r="A15" s="141"/>
      <c r="B15" s="150" t="s">
        <v>80</v>
      </c>
      <c r="C15" s="147">
        <v>22.77</v>
      </c>
      <c r="D15" s="147" t="s">
        <v>15</v>
      </c>
      <c r="E15" s="150">
        <v>117.54</v>
      </c>
      <c r="F15" s="147">
        <f t="shared" si="1"/>
        <v>2676.3858</v>
      </c>
    </row>
    <row r="16" spans="1:6" customFormat="1">
      <c r="A16" s="141"/>
      <c r="B16" s="141"/>
      <c r="C16" s="544" t="s">
        <v>59</v>
      </c>
      <c r="D16" s="544"/>
      <c r="E16" s="545"/>
      <c r="F16" s="134">
        <f>SUM(F5:F15)</f>
        <v>524954.25235999993</v>
      </c>
    </row>
    <row r="17" spans="1:6" customFormat="1">
      <c r="A17" s="141"/>
      <c r="B17" s="141"/>
      <c r="C17" s="544" t="s">
        <v>220</v>
      </c>
      <c r="D17" s="544"/>
      <c r="E17" s="545"/>
      <c r="F17" s="134">
        <f>F16*18%</f>
        <v>94491.765424799989</v>
      </c>
    </row>
    <row r="18" spans="1:6" customFormat="1">
      <c r="A18" s="141"/>
      <c r="B18" s="141"/>
      <c r="C18" s="151"/>
      <c r="D18" s="151"/>
      <c r="E18" s="152" t="s">
        <v>59</v>
      </c>
      <c r="F18" s="134">
        <f>F16+F17</f>
        <v>619446.01778479991</v>
      </c>
    </row>
    <row r="19" spans="1:6" customFormat="1">
      <c r="A19" s="141"/>
      <c r="B19" s="141"/>
      <c r="C19" s="544" t="s">
        <v>221</v>
      </c>
      <c r="D19" s="544"/>
      <c r="E19" s="545"/>
      <c r="F19" s="134">
        <f>PRODUCT(F18,0.01)</f>
        <v>6194.4601778479991</v>
      </c>
    </row>
    <row r="20" spans="1:6" customFormat="1">
      <c r="A20" s="141"/>
      <c r="B20" s="141"/>
      <c r="C20" s="544" t="s">
        <v>59</v>
      </c>
      <c r="D20" s="544"/>
      <c r="E20" s="545"/>
      <c r="F20" s="134">
        <f>F18+F19</f>
        <v>625640.47796264791</v>
      </c>
    </row>
  </sheetData>
  <mergeCells count="7">
    <mergeCell ref="C20:E20"/>
    <mergeCell ref="A1:F1"/>
    <mergeCell ref="A2:F2"/>
    <mergeCell ref="A3:F3"/>
    <mergeCell ref="C16:E16"/>
    <mergeCell ref="C17:E17"/>
    <mergeCell ref="C19:E19"/>
  </mergeCell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F22"/>
  <sheetViews>
    <sheetView tabSelected="1" workbookViewId="0">
      <selection activeCell="I5" sqref="I5"/>
    </sheetView>
  </sheetViews>
  <sheetFormatPr defaultRowHeight="15"/>
  <cols>
    <col min="1" max="1" width="9.140625" style="30"/>
    <col min="2" max="2" width="44.5703125" style="31" customWidth="1"/>
    <col min="3" max="3" width="9.140625" style="23"/>
    <col min="4" max="4" width="9.140625" style="32"/>
    <col min="5" max="5" width="9.140625" style="23"/>
    <col min="6" max="6" width="16.42578125" style="33" customWidth="1"/>
    <col min="7" max="16384" width="9.140625" style="23"/>
  </cols>
  <sheetData>
    <row r="1" spans="1:6" ht="18.75">
      <c r="A1" s="380" t="s">
        <v>0</v>
      </c>
      <c r="B1" s="380"/>
      <c r="C1" s="380"/>
      <c r="D1" s="380"/>
      <c r="E1" s="380"/>
      <c r="F1" s="380"/>
    </row>
    <row r="2" spans="1:6" ht="18.75">
      <c r="A2" s="380" t="s">
        <v>33</v>
      </c>
      <c r="B2" s="380"/>
      <c r="C2" s="380"/>
      <c r="D2" s="380"/>
      <c r="E2" s="380"/>
      <c r="F2" s="380"/>
    </row>
    <row r="3" spans="1:6" ht="75.75" customHeight="1">
      <c r="A3" s="381" t="s">
        <v>222</v>
      </c>
      <c r="B3" s="381"/>
      <c r="C3" s="381"/>
      <c r="D3" s="381"/>
      <c r="E3" s="381"/>
      <c r="F3" s="381"/>
    </row>
    <row r="4" spans="1:6">
      <c r="A4" s="24" t="s">
        <v>35</v>
      </c>
      <c r="B4" s="24" t="s">
        <v>36</v>
      </c>
      <c r="C4" s="24" t="s">
        <v>37</v>
      </c>
      <c r="D4" s="24" t="s">
        <v>5</v>
      </c>
      <c r="E4" s="24" t="s">
        <v>38</v>
      </c>
      <c r="F4" s="24" t="s">
        <v>39</v>
      </c>
    </row>
    <row r="5" spans="1:6" ht="165">
      <c r="A5" s="26" t="s">
        <v>208</v>
      </c>
      <c r="B5" s="26" t="s">
        <v>209</v>
      </c>
      <c r="C5" s="26">
        <v>15.18</v>
      </c>
      <c r="D5" s="26" t="s">
        <v>15</v>
      </c>
      <c r="E5" s="26">
        <v>167.33</v>
      </c>
      <c r="F5" s="26">
        <f>C5*E5</f>
        <v>2540.0694000000003</v>
      </c>
    </row>
    <row r="6" spans="1:6" ht="120">
      <c r="A6" s="26" t="s">
        <v>210</v>
      </c>
      <c r="B6" s="26" t="s">
        <v>211</v>
      </c>
      <c r="C6" s="26">
        <v>8.67</v>
      </c>
      <c r="D6" s="26" t="s">
        <v>15</v>
      </c>
      <c r="E6" s="26">
        <v>589.51</v>
      </c>
      <c r="F6" s="26">
        <f t="shared" ref="F6:F17" si="0">C6*E6</f>
        <v>5111.0517</v>
      </c>
    </row>
    <row r="7" spans="1:6" ht="90">
      <c r="A7" s="26" t="s">
        <v>212</v>
      </c>
      <c r="B7" s="26" t="s">
        <v>213</v>
      </c>
      <c r="C7" s="26">
        <v>21.24</v>
      </c>
      <c r="D7" s="26" t="s">
        <v>15</v>
      </c>
      <c r="E7" s="26">
        <v>1756.4</v>
      </c>
      <c r="F7" s="26">
        <f t="shared" si="0"/>
        <v>37305.936000000002</v>
      </c>
    </row>
    <row r="8" spans="1:6" ht="60">
      <c r="A8" s="26" t="s">
        <v>223</v>
      </c>
      <c r="B8" s="26" t="s">
        <v>215</v>
      </c>
      <c r="C8" s="26">
        <v>39.03</v>
      </c>
      <c r="D8" s="26" t="s">
        <v>91</v>
      </c>
      <c r="E8" s="26">
        <v>194.5</v>
      </c>
      <c r="F8" s="26">
        <f t="shared" si="0"/>
        <v>7591.335</v>
      </c>
    </row>
    <row r="9" spans="1:6" ht="75">
      <c r="A9" s="26" t="s">
        <v>224</v>
      </c>
      <c r="B9" s="26" t="s">
        <v>217</v>
      </c>
      <c r="C9" s="26">
        <v>45.313000000000002</v>
      </c>
      <c r="D9" s="26" t="s">
        <v>158</v>
      </c>
      <c r="E9" s="26">
        <v>4961.7299999999996</v>
      </c>
      <c r="F9" s="26">
        <f t="shared" si="0"/>
        <v>224830.87148999999</v>
      </c>
    </row>
    <row r="10" spans="1:6" customFormat="1" ht="135">
      <c r="A10" s="26" t="s">
        <v>225</v>
      </c>
      <c r="B10" s="26" t="s">
        <v>52</v>
      </c>
      <c r="C10" s="26">
        <v>2.8319999999999999</v>
      </c>
      <c r="D10" s="26" t="s">
        <v>10</v>
      </c>
      <c r="E10" s="26">
        <f>[33]ESTIMATE!I33</f>
        <v>6308.87</v>
      </c>
      <c r="F10" s="26">
        <f t="shared" ref="F10:F11" si="1">ROUND(C10*E10,2)</f>
        <v>17866.72</v>
      </c>
    </row>
    <row r="11" spans="1:6" customFormat="1">
      <c r="A11" s="26"/>
      <c r="B11" s="26" t="s">
        <v>226</v>
      </c>
      <c r="C11" s="26">
        <v>0.27500000000000002</v>
      </c>
      <c r="D11" s="26" t="s">
        <v>10</v>
      </c>
      <c r="E11" s="26">
        <v>82096.539999999994</v>
      </c>
      <c r="F11" s="26">
        <f t="shared" si="1"/>
        <v>22576.55</v>
      </c>
    </row>
    <row r="12" spans="1:6">
      <c r="A12" s="26">
        <v>7</v>
      </c>
      <c r="B12" s="26" t="s">
        <v>12</v>
      </c>
      <c r="C12" s="26"/>
      <c r="D12" s="26"/>
      <c r="E12" s="26"/>
      <c r="F12" s="26"/>
    </row>
    <row r="13" spans="1:6">
      <c r="A13" s="26" t="s">
        <v>145</v>
      </c>
      <c r="B13" s="26" t="s">
        <v>76</v>
      </c>
      <c r="C13" s="26">
        <v>20.7</v>
      </c>
      <c r="D13" s="26" t="s">
        <v>15</v>
      </c>
      <c r="E13" s="26">
        <v>744.66</v>
      </c>
      <c r="F13" s="26">
        <f t="shared" si="0"/>
        <v>15414.462</v>
      </c>
    </row>
    <row r="14" spans="1:6">
      <c r="A14" s="26" t="s">
        <v>147</v>
      </c>
      <c r="B14" s="26" t="s">
        <v>218</v>
      </c>
      <c r="C14" s="26">
        <v>8.67</v>
      </c>
      <c r="D14" s="26" t="s">
        <v>15</v>
      </c>
      <c r="E14" s="26">
        <v>387.54</v>
      </c>
      <c r="F14" s="26">
        <f t="shared" si="0"/>
        <v>3359.9718000000003</v>
      </c>
    </row>
    <row r="15" spans="1:6">
      <c r="A15" s="26" t="s">
        <v>149</v>
      </c>
      <c r="B15" s="26" t="s">
        <v>219</v>
      </c>
      <c r="C15" s="26">
        <v>41.4</v>
      </c>
      <c r="D15" s="26" t="s">
        <v>15</v>
      </c>
      <c r="E15" s="26">
        <v>342.9</v>
      </c>
      <c r="F15" s="26">
        <f t="shared" si="0"/>
        <v>14196.059999999998</v>
      </c>
    </row>
    <row r="16" spans="1:6">
      <c r="A16" s="26" t="s">
        <v>204</v>
      </c>
      <c r="B16" s="26" t="s">
        <v>79</v>
      </c>
      <c r="C16" s="26">
        <v>21.24</v>
      </c>
      <c r="D16" s="26" t="s">
        <v>15</v>
      </c>
      <c r="E16" s="26">
        <v>570.94000000000005</v>
      </c>
      <c r="F16" s="26">
        <f t="shared" si="0"/>
        <v>12126.765600000001</v>
      </c>
    </row>
    <row r="17" spans="1:6">
      <c r="A17" s="26" t="s">
        <v>206</v>
      </c>
      <c r="B17" s="26" t="s">
        <v>80</v>
      </c>
      <c r="C17" s="26">
        <v>15.18</v>
      </c>
      <c r="D17" s="26" t="s">
        <v>15</v>
      </c>
      <c r="E17" s="26">
        <v>117.54</v>
      </c>
      <c r="F17" s="26">
        <f t="shared" si="0"/>
        <v>1784.2572</v>
      </c>
    </row>
    <row r="18" spans="1:6">
      <c r="A18" s="27"/>
      <c r="B18" s="28"/>
      <c r="C18" s="29"/>
      <c r="D18" s="25"/>
      <c r="E18" s="29" t="s">
        <v>59</v>
      </c>
      <c r="F18" s="134">
        <f>SUM(F5:F17)</f>
        <v>364704.05018999992</v>
      </c>
    </row>
    <row r="19" spans="1:6" ht="30">
      <c r="A19" s="27"/>
      <c r="B19" s="28"/>
      <c r="C19" s="29"/>
      <c r="D19" s="25"/>
      <c r="E19" s="26" t="s">
        <v>60</v>
      </c>
      <c r="F19" s="26">
        <f>F18*18/100</f>
        <v>65646.729034199991</v>
      </c>
    </row>
    <row r="20" spans="1:6">
      <c r="A20" s="27"/>
      <c r="B20" s="28"/>
      <c r="C20" s="29"/>
      <c r="D20" s="25"/>
      <c r="E20" s="26"/>
      <c r="F20" s="26">
        <f>F19+F18</f>
        <v>430350.77922419994</v>
      </c>
    </row>
    <row r="21" spans="1:6" ht="30">
      <c r="A21" s="27"/>
      <c r="B21" s="28"/>
      <c r="C21" s="29"/>
      <c r="D21" s="25"/>
      <c r="E21" s="26" t="s">
        <v>61</v>
      </c>
      <c r="F21" s="26">
        <f>F20*1/100</f>
        <v>4303.5077922419996</v>
      </c>
    </row>
    <row r="22" spans="1:6">
      <c r="A22" s="27"/>
      <c r="B22" s="28"/>
      <c r="C22" s="29"/>
      <c r="D22" s="25"/>
      <c r="E22" s="26" t="s">
        <v>227</v>
      </c>
      <c r="F22" s="26">
        <f>F21+F20</f>
        <v>434654.28701644193</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ColWidth="9.140625" defaultRowHeight="15"/>
  <cols>
    <col min="1" max="1" width="9.28515625" style="30" bestFit="1" customWidth="1"/>
    <col min="2" max="2" width="42.28515625" style="31" customWidth="1"/>
    <col min="3" max="3" width="9.140625" style="23" customWidth="1"/>
    <col min="4" max="4" width="9.140625" style="32"/>
    <col min="5" max="5" width="11.28515625" style="297" bestFit="1" customWidth="1"/>
    <col min="6" max="6" width="18.5703125" style="297" bestFit="1" customWidth="1"/>
    <col min="7" max="16384" width="9.140625" style="23"/>
  </cols>
  <sheetData>
    <row r="1" spans="1:6" ht="60.75" customHeight="1">
      <c r="A1" s="379" t="s">
        <v>0</v>
      </c>
      <c r="B1" s="379"/>
      <c r="C1" s="379"/>
      <c r="D1" s="379"/>
      <c r="E1" s="379"/>
      <c r="F1" s="379"/>
    </row>
    <row r="2" spans="1:6" ht="18.75">
      <c r="A2" s="380" t="s">
        <v>33</v>
      </c>
      <c r="B2" s="380"/>
      <c r="C2" s="380"/>
      <c r="D2" s="380"/>
      <c r="E2" s="380"/>
      <c r="F2" s="380"/>
    </row>
    <row r="3" spans="1:6" ht="55.5" customHeight="1">
      <c r="A3" s="381" t="str">
        <f>[4]Drain!A3</f>
        <v>Name of Work :-Construction of RCC Drain at Tiril Sarnatoli,Mahabir Nagar Boli Kotcha from Sadhu Sharan Mahto house to Sakuntala Devi house under ward no-08</v>
      </c>
      <c r="B3" s="381"/>
      <c r="C3" s="381"/>
      <c r="D3" s="381"/>
      <c r="E3" s="381"/>
      <c r="F3" s="381"/>
    </row>
    <row r="4" spans="1:6">
      <c r="A4" s="24" t="s">
        <v>35</v>
      </c>
      <c r="B4" s="24" t="s">
        <v>36</v>
      </c>
      <c r="C4" s="24" t="s">
        <v>37</v>
      </c>
      <c r="D4" s="24" t="s">
        <v>5</v>
      </c>
      <c r="E4" s="294" t="s">
        <v>38</v>
      </c>
      <c r="F4" s="294" t="s">
        <v>39</v>
      </c>
    </row>
    <row r="5" spans="1:6" ht="75">
      <c r="A5" s="131" t="str">
        <f>[4]Drain!A5</f>
        <v>1            5.10.2</v>
      </c>
      <c r="B5" s="26" t="str">
        <f>[4]Drain!B5</f>
        <v xml:space="preserve">Dismantling plain cement or lime concrete work including stacking serviceable materials in countable stacks within 15M.lead and disposal of unserviceable materials with all leads complete  as per direction of E/I.              </v>
      </c>
      <c r="C5" s="134">
        <f>[4]Drain!G8</f>
        <v>1.42</v>
      </c>
      <c r="D5" s="25" t="str">
        <f>D7</f>
        <v>M3</v>
      </c>
      <c r="E5" s="295">
        <f>[4]Drain!I8</f>
        <v>955.89</v>
      </c>
      <c r="F5" s="295">
        <f>ROUND((C5*E5),2)</f>
        <v>1357.36</v>
      </c>
    </row>
    <row r="6" spans="1:6" ht="120">
      <c r="A6" s="131" t="str">
        <f>[4]Drain!A9</f>
        <v>2            5.1.1</v>
      </c>
      <c r="B6" s="26" t="str">
        <f>[4]Drain!B9</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6" s="134">
        <f>[4]Drain!G13</f>
        <v>57.26</v>
      </c>
      <c r="D6" s="25" t="str">
        <f>D7</f>
        <v>M3</v>
      </c>
      <c r="E6" s="295">
        <f>[4]Drain!I13</f>
        <v>151.82</v>
      </c>
      <c r="F6" s="295">
        <f>ROUND((C6*E6),2)</f>
        <v>8693.2099999999991</v>
      </c>
    </row>
    <row r="7" spans="1:6" ht="120">
      <c r="A7" s="131" t="str">
        <f>[4]Drain!A14</f>
        <v>34/M004</v>
      </c>
      <c r="B7" s="26" t="str">
        <f>[3]Sheet1!B9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7" s="134">
        <f>[4]Drain!G18</f>
        <v>3.55</v>
      </c>
      <c r="D7" s="25" t="s">
        <v>158</v>
      </c>
      <c r="E7" s="295">
        <f>[3]Sheet1!I12</f>
        <v>347.85</v>
      </c>
      <c r="F7" s="295">
        <f t="shared" ref="F7:F20" si="0">ROUND((C7*E7),2)</f>
        <v>1234.8699999999999</v>
      </c>
    </row>
    <row r="8" spans="1:6" ht="90">
      <c r="A8" s="131" t="str">
        <f>[4]Drain!A19</f>
        <v>45.6.8</v>
      </c>
      <c r="B8" s="26" t="str">
        <f>[3]Sheet1!B13</f>
        <v>Supplying and laying (properly as per design and drawing) rip-rap with good  quality of boulders duly packed including the cost of materials, royalty all taxes etc. but excluding the cost of carriage all complete as per specification and direction of E/I.</v>
      </c>
      <c r="C8" s="134">
        <f>[4]Drain!G23</f>
        <v>9.09</v>
      </c>
      <c r="D8" s="25" t="s">
        <v>158</v>
      </c>
      <c r="E8" s="295">
        <f>[3]Sheet1!I16</f>
        <v>1756.4</v>
      </c>
      <c r="F8" s="295">
        <f t="shared" si="0"/>
        <v>15965.68</v>
      </c>
    </row>
    <row r="9" spans="1:6" ht="90">
      <c r="A9" s="131" t="str">
        <f>[4]Drain!A24</f>
        <v>55.3.10</v>
      </c>
      <c r="B9" s="26" t="str">
        <f>[3]Sheet1!B17</f>
        <v>Providing and laying in position cement concrete of specified grade excluding the cost of centering and shuttering - All work up to plinth level1:1.5:3 (1 Cement : 1.5 coarse sand zone(III): 3 graded stone aggregate 20mm nominal size)</v>
      </c>
      <c r="C9" s="134">
        <f>[4]Drain!G30</f>
        <v>24.09</v>
      </c>
      <c r="D9" s="25" t="s">
        <v>158</v>
      </c>
      <c r="E9" s="295">
        <f>[4]Drain!I30</f>
        <v>6082.45</v>
      </c>
      <c r="F9" s="295">
        <f t="shared" si="0"/>
        <v>146526.22</v>
      </c>
    </row>
    <row r="10" spans="1:6" ht="105">
      <c r="A10" s="131" t="str">
        <f>[4]Drain!A31</f>
        <v>6 5.3.11</v>
      </c>
      <c r="B10" s="26" t="str">
        <f>[4]Drain!B31</f>
        <v>Renforced cement conrete work in beams, suspended floors, having slopeup to 15' landing, balconies, shelves, chajjas, lintels, bands, plain windowsill ---------do----do-------E/I1:1.5:3 (1 Cement : 1.5 coarse sand zone(III): 3 graded stone aggregate 20mm nominal size)</v>
      </c>
      <c r="C10" s="134">
        <f>[4]Drain!G35</f>
        <v>11.28</v>
      </c>
      <c r="D10" s="25" t="str">
        <f>D9</f>
        <v>M3</v>
      </c>
      <c r="E10" s="295">
        <f>[4]Drain!I35</f>
        <v>6308.87</v>
      </c>
      <c r="F10" s="295">
        <f t="shared" si="0"/>
        <v>71164.05</v>
      </c>
    </row>
    <row r="11" spans="1:6" ht="135">
      <c r="A11" s="131">
        <f>[4]Drain!A36</f>
        <v>7</v>
      </c>
      <c r="B11" s="26" t="str">
        <f>[4]Drain!B36</f>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
      <c r="C11" s="134"/>
      <c r="D11" s="25"/>
      <c r="E11" s="295"/>
      <c r="F11" s="295"/>
    </row>
    <row r="12" spans="1:6">
      <c r="A12" s="131" t="str">
        <f>[4]Drain!A41</f>
        <v>(A)5.5.4</v>
      </c>
      <c r="B12" s="26" t="str">
        <f>[4]Drain!B41</f>
        <v>08mm dia 40%</v>
      </c>
      <c r="C12" s="144">
        <f>[4]Drain!G41</f>
        <v>1.1240000000000001</v>
      </c>
      <c r="D12" s="25" t="str">
        <f>[4]Drain!H41</f>
        <v>M.T.</v>
      </c>
      <c r="E12" s="295">
        <f>[4]Drain!I41</f>
        <v>83314.02</v>
      </c>
      <c r="F12" s="295">
        <f t="shared" si="0"/>
        <v>93644.96</v>
      </c>
    </row>
    <row r="13" spans="1:6" ht="30">
      <c r="A13" s="131" t="str">
        <f>[4]Drain!A42</f>
        <v>(B)5.5.5(a)</v>
      </c>
      <c r="B13" s="26" t="str">
        <f>[4]Drain!B42</f>
        <v>10mm dia 60%</v>
      </c>
      <c r="C13" s="144">
        <f>[4]Drain!G42</f>
        <v>1.6859999999999999</v>
      </c>
      <c r="D13" s="25" t="str">
        <f>D12</f>
        <v>M.T.</v>
      </c>
      <c r="E13" s="295">
        <f>[4]Drain!I42</f>
        <v>82096.539999999994</v>
      </c>
      <c r="F13" s="295">
        <f t="shared" si="0"/>
        <v>138414.76999999999</v>
      </c>
    </row>
    <row r="14" spans="1:6" ht="60">
      <c r="A14" s="131" t="str">
        <f>[4]Drain!A44</f>
        <v>85.3.17.1</v>
      </c>
      <c r="B14" s="26" t="str">
        <f>[4]Drain!B44</f>
        <v>Centering and Shuttering including strutting, propping etc and removal of from for   Foundation , footing , bases of columns etc for mass concrete.</v>
      </c>
      <c r="C14" s="134">
        <f>[4]Drain!G50</f>
        <v>250.94</v>
      </c>
      <c r="D14" s="25" t="str">
        <f>[4]Drain!H50</f>
        <v>m2</v>
      </c>
      <c r="E14" s="295">
        <f>[4]Drain!I50</f>
        <v>194.5</v>
      </c>
      <c r="F14" s="295">
        <f t="shared" si="0"/>
        <v>48807.83</v>
      </c>
    </row>
    <row r="15" spans="1:6">
      <c r="A15" s="27">
        <v>6</v>
      </c>
      <c r="B15" s="28" t="s">
        <v>175</v>
      </c>
      <c r="C15" s="29"/>
      <c r="D15" s="25"/>
      <c r="E15" s="295"/>
      <c r="F15" s="295"/>
    </row>
    <row r="16" spans="1:6">
      <c r="A16" s="160" t="s">
        <v>13</v>
      </c>
      <c r="B16" s="296" t="s">
        <v>342</v>
      </c>
      <c r="C16" s="134">
        <f>[4]Drain!G52</f>
        <v>15.209999999999999</v>
      </c>
      <c r="D16" s="25" t="s">
        <v>158</v>
      </c>
      <c r="E16" s="275">
        <f>[3]Sheet1!I26</f>
        <v>848.82</v>
      </c>
      <c r="F16" s="295">
        <f t="shared" si="0"/>
        <v>12910.55</v>
      </c>
    </row>
    <row r="17" spans="1:6">
      <c r="A17" s="160" t="s">
        <v>16</v>
      </c>
      <c r="B17" s="296" t="str">
        <f>[4]Drain!B53</f>
        <v>Stone Dust (Lead 22 KM)</v>
      </c>
      <c r="C17" s="134">
        <f>[4]Drain!G53</f>
        <v>3.55</v>
      </c>
      <c r="D17" s="25" t="s">
        <v>158</v>
      </c>
      <c r="E17" s="275">
        <f>[3]Sheet1!I27</f>
        <v>447.06</v>
      </c>
      <c r="F17" s="295">
        <f t="shared" si="0"/>
        <v>1587.06</v>
      </c>
    </row>
    <row r="18" spans="1:6">
      <c r="A18" s="160" t="s">
        <v>18</v>
      </c>
      <c r="B18" s="296" t="s">
        <v>19</v>
      </c>
      <c r="C18" s="134">
        <f>[4]Drain!G54</f>
        <v>9.09</v>
      </c>
      <c r="D18" s="25" t="s">
        <v>158</v>
      </c>
      <c r="E18" s="275">
        <f>[3]Sheet1!I28</f>
        <v>679.66</v>
      </c>
      <c r="F18" s="295">
        <f t="shared" si="0"/>
        <v>6178.11</v>
      </c>
    </row>
    <row r="19" spans="1:6">
      <c r="A19" s="160" t="s">
        <v>20</v>
      </c>
      <c r="B19" s="296" t="s">
        <v>21</v>
      </c>
      <c r="C19" s="134">
        <f>[4]Drain!G55</f>
        <v>30.419999999999998</v>
      </c>
      <c r="D19" s="25" t="s">
        <v>158</v>
      </c>
      <c r="E19" s="275">
        <f>[3]Sheet1!I29</f>
        <v>447.06</v>
      </c>
      <c r="F19" s="295">
        <f t="shared" si="0"/>
        <v>13599.57</v>
      </c>
    </row>
    <row r="20" spans="1:6">
      <c r="A20" s="160" t="s">
        <v>22</v>
      </c>
      <c r="B20" s="296" t="s">
        <v>23</v>
      </c>
      <c r="C20" s="134">
        <f>[4]Drain!G56</f>
        <v>57.26</v>
      </c>
      <c r="D20" s="25" t="s">
        <v>158</v>
      </c>
      <c r="E20" s="275">
        <f>[3]Sheet1!I30</f>
        <v>117.54</v>
      </c>
      <c r="F20" s="295">
        <f t="shared" si="0"/>
        <v>6730.34</v>
      </c>
    </row>
    <row r="21" spans="1:6" ht="18.75">
      <c r="A21" s="27"/>
      <c r="B21" s="28"/>
      <c r="C21" s="29"/>
      <c r="D21" s="25"/>
      <c r="E21" s="295" t="s">
        <v>59</v>
      </c>
      <c r="F21" s="106">
        <f>SUM(F5:F20)</f>
        <v>566814.57999999996</v>
      </c>
    </row>
    <row r="22" spans="1:6" ht="18.75">
      <c r="A22" s="378" t="s">
        <v>348</v>
      </c>
      <c r="B22" s="378"/>
      <c r="C22" s="378"/>
      <c r="D22" s="378"/>
      <c r="E22" s="378"/>
      <c r="F22" s="106">
        <f>ROUND((F21*18%),2)</f>
        <v>102026.62</v>
      </c>
    </row>
    <row r="23" spans="1:6" ht="18.75">
      <c r="A23" s="378" t="s">
        <v>24</v>
      </c>
      <c r="B23" s="378" t="s">
        <v>24</v>
      </c>
      <c r="C23" s="378"/>
      <c r="D23" s="378"/>
      <c r="E23" s="378"/>
      <c r="F23" s="106">
        <f>F21+F22</f>
        <v>668841.19999999995</v>
      </c>
    </row>
    <row r="24" spans="1:6" ht="18.75">
      <c r="A24" s="378" t="s">
        <v>349</v>
      </c>
      <c r="B24" s="378" t="s">
        <v>350</v>
      </c>
      <c r="C24" s="378"/>
      <c r="D24" s="378"/>
      <c r="E24" s="378"/>
      <c r="F24" s="106">
        <f>ROUND((F23*1%),2)</f>
        <v>6688.41</v>
      </c>
    </row>
    <row r="25" spans="1:6" ht="18.75">
      <c r="A25" s="378" t="s">
        <v>24</v>
      </c>
      <c r="B25" s="378" t="s">
        <v>24</v>
      </c>
      <c r="C25" s="378"/>
      <c r="D25" s="378"/>
      <c r="E25" s="378"/>
      <c r="F25" s="106">
        <f>F23+F24</f>
        <v>675529.61</v>
      </c>
    </row>
    <row r="26" spans="1:6" ht="18.75">
      <c r="A26" s="378" t="s">
        <v>27</v>
      </c>
      <c r="B26" s="378" t="s">
        <v>27</v>
      </c>
      <c r="C26" s="378"/>
      <c r="D26" s="378"/>
      <c r="E26" s="378"/>
      <c r="F26" s="106">
        <f>ROUND((F25),0)</f>
        <v>675530</v>
      </c>
    </row>
  </sheetData>
  <mergeCells count="8">
    <mergeCell ref="A25:E25"/>
    <mergeCell ref="A26:E26"/>
    <mergeCell ref="A1:F1"/>
    <mergeCell ref="A2:F2"/>
    <mergeCell ref="A3:F3"/>
    <mergeCell ref="A22:E22"/>
    <mergeCell ref="A23:E23"/>
    <mergeCell ref="A24:E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ColWidth="9.140625" defaultRowHeight="15"/>
  <cols>
    <col min="1" max="1" width="9.28515625" style="30" bestFit="1" customWidth="1"/>
    <col min="2" max="2" width="42.28515625" style="31" customWidth="1"/>
    <col min="3" max="3" width="9.140625" style="23" customWidth="1"/>
    <col min="4" max="4" width="9.140625" style="32"/>
    <col min="5" max="5" width="11.28515625" style="297" bestFit="1" customWidth="1"/>
    <col min="6" max="6" width="18.5703125" style="297" bestFit="1" customWidth="1"/>
    <col min="7" max="16384" width="9.140625" style="23"/>
  </cols>
  <sheetData>
    <row r="1" spans="1:6" ht="60.75" customHeight="1">
      <c r="A1" s="379" t="s">
        <v>0</v>
      </c>
      <c r="B1" s="379"/>
      <c r="C1" s="379"/>
      <c r="D1" s="379"/>
      <c r="E1" s="379"/>
      <c r="F1" s="379"/>
    </row>
    <row r="2" spans="1:6" ht="18.75">
      <c r="A2" s="380" t="s">
        <v>33</v>
      </c>
      <c r="B2" s="380"/>
      <c r="C2" s="380"/>
      <c r="D2" s="380"/>
      <c r="E2" s="380"/>
      <c r="F2" s="380"/>
    </row>
    <row r="3" spans="1:6" ht="55.5" customHeight="1">
      <c r="A3" s="381" t="str">
        <f>[5]Drain!A3</f>
        <v>Name of Work :-Construction of RCC Drain at Adarsh nagar from house of Suresh Singh to house of Baijnath Paswan under ward no-08</v>
      </c>
      <c r="B3" s="381"/>
      <c r="C3" s="381"/>
      <c r="D3" s="381"/>
      <c r="E3" s="381"/>
      <c r="F3" s="381"/>
    </row>
    <row r="4" spans="1:6">
      <c r="A4" s="24" t="s">
        <v>35</v>
      </c>
      <c r="B4" s="24" t="s">
        <v>36</v>
      </c>
      <c r="C4" s="24" t="s">
        <v>37</v>
      </c>
      <c r="D4" s="24" t="s">
        <v>5</v>
      </c>
      <c r="E4" s="294" t="s">
        <v>38</v>
      </c>
      <c r="F4" s="294" t="s">
        <v>39</v>
      </c>
    </row>
    <row r="5" spans="1:6" ht="75">
      <c r="A5" s="131" t="str">
        <f>[5]Drain!A5</f>
        <v>1            5.10.2</v>
      </c>
      <c r="B5" s="26" t="str">
        <f>[5]Drain!B5</f>
        <v xml:space="preserve">Dismantling plain cement or lime concrete work including stacking serviceable materials in countable stacks within 15M.lead and disposal of unserviceable materials with all leads complete  as per direction of E/I.              </v>
      </c>
      <c r="C5" s="134">
        <f>[5]Drain!G8</f>
        <v>0.6</v>
      </c>
      <c r="D5" s="25" t="str">
        <f>D7</f>
        <v>M3</v>
      </c>
      <c r="E5" s="295">
        <f>[5]Drain!I8</f>
        <v>955.89</v>
      </c>
      <c r="F5" s="295">
        <f>ROUND((C5*E5),2)</f>
        <v>573.53</v>
      </c>
    </row>
    <row r="6" spans="1:6" ht="120">
      <c r="A6" s="131" t="str">
        <f>[5]Drain!A9</f>
        <v>2            5.1.1</v>
      </c>
      <c r="B6" s="26" t="str">
        <f>[5]Drain!B9</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6" s="134">
        <f>[5]Drain!G13</f>
        <v>23.04</v>
      </c>
      <c r="D6" s="25" t="str">
        <f>D7</f>
        <v>M3</v>
      </c>
      <c r="E6" s="295">
        <f>[5]Drain!I13</f>
        <v>151.82</v>
      </c>
      <c r="F6" s="295">
        <f>ROUND((C6*E6),2)</f>
        <v>3497.93</v>
      </c>
    </row>
    <row r="7" spans="1:6" ht="120">
      <c r="A7" s="131" t="str">
        <f>[5]Drain!A14</f>
        <v>34/M004</v>
      </c>
      <c r="B7" s="26" t="str">
        <f>[3]Sheet1!B9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7" s="134">
        <f>[5]Drain!G18</f>
        <v>1.43</v>
      </c>
      <c r="D7" s="25" t="s">
        <v>158</v>
      </c>
      <c r="E7" s="295">
        <f>[3]Sheet1!I12</f>
        <v>347.85</v>
      </c>
      <c r="F7" s="295">
        <f t="shared" ref="F7:F20" si="0">ROUND((C7*E7),2)</f>
        <v>497.43</v>
      </c>
    </row>
    <row r="8" spans="1:6" ht="90">
      <c r="A8" s="131" t="str">
        <f>[5]Drain!A19</f>
        <v>45.6.8</v>
      </c>
      <c r="B8" s="26" t="str">
        <f>[3]Sheet1!B13</f>
        <v>Supplying and laying (properly as per design and drawing) rip-rap with good  quality of boulders duly packed including the cost of materials, royalty all taxes etc. but excluding the cost of carriage all complete as per specification and direction of E/I.</v>
      </c>
      <c r="C8" s="134">
        <f>[5]Drain!G23</f>
        <v>3.68</v>
      </c>
      <c r="D8" s="25" t="s">
        <v>158</v>
      </c>
      <c r="E8" s="295">
        <f>[3]Sheet1!I16</f>
        <v>1756.4</v>
      </c>
      <c r="F8" s="295">
        <f t="shared" si="0"/>
        <v>6463.55</v>
      </c>
    </row>
    <row r="9" spans="1:6" ht="90">
      <c r="A9" s="131" t="str">
        <f>[5]Drain!A24</f>
        <v>55.3.10</v>
      </c>
      <c r="B9" s="26" t="str">
        <f>[3]Sheet1!B17</f>
        <v>Providing and laying in position cement concrete of specified grade excluding the cost of centering and shuttering - All work up to plinth level1:1.5:3 (1 Cement : 1.5 coarse sand zone(III): 3 graded stone aggregate 20mm nominal size)</v>
      </c>
      <c r="C9" s="134">
        <f>[5]Drain!G30</f>
        <v>9.89</v>
      </c>
      <c r="D9" s="25" t="s">
        <v>158</v>
      </c>
      <c r="E9" s="295">
        <f>[5]Drain!I30</f>
        <v>6082.45</v>
      </c>
      <c r="F9" s="295">
        <f t="shared" si="0"/>
        <v>60155.43</v>
      </c>
    </row>
    <row r="10" spans="1:6" ht="105">
      <c r="A10" s="131" t="str">
        <f>[5]Drain!A31</f>
        <v>6 5.3.11</v>
      </c>
      <c r="B10" s="26" t="str">
        <f>[5]Drain!B31</f>
        <v>Renforced cement conrete work in beams, suspended floors, having slopeup to 15' landing, balconies, shelves, chajjas, lintels, bands, plain windowsill ---------do----do-------E/I1:1.5:3 (1 Cement : 1.5 coarse sand zone(III): 3 graded stone aggregate 20mm nominal size)</v>
      </c>
      <c r="C10" s="134">
        <f>[5]Drain!G35</f>
        <v>4.76</v>
      </c>
      <c r="D10" s="25" t="str">
        <f>D9</f>
        <v>M3</v>
      </c>
      <c r="E10" s="295">
        <f>[5]Drain!I35</f>
        <v>6308.87</v>
      </c>
      <c r="F10" s="295">
        <f t="shared" si="0"/>
        <v>30030.22</v>
      </c>
    </row>
    <row r="11" spans="1:6" ht="135">
      <c r="A11" s="131">
        <f>[5]Drain!A36</f>
        <v>7</v>
      </c>
      <c r="B11" s="26" t="str">
        <f>[5]Drain!B36</f>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
      <c r="C11" s="134"/>
      <c r="D11" s="25"/>
      <c r="E11" s="295"/>
      <c r="F11" s="295"/>
    </row>
    <row r="12" spans="1:6">
      <c r="A12" s="131" t="str">
        <f>[5]Drain!A41</f>
        <v>(A)5.5.4</v>
      </c>
      <c r="B12" s="26" t="str">
        <f>[5]Drain!B41</f>
        <v>08mm dia 40%</v>
      </c>
      <c r="C12" s="144">
        <f>[5]Drain!G41</f>
        <v>0.46600000000000003</v>
      </c>
      <c r="D12" s="25" t="str">
        <f>[5]Drain!H41</f>
        <v>M.T.</v>
      </c>
      <c r="E12" s="295">
        <f>[5]Drain!I41</f>
        <v>83314.02</v>
      </c>
      <c r="F12" s="295">
        <f t="shared" si="0"/>
        <v>38824.33</v>
      </c>
    </row>
    <row r="13" spans="1:6" ht="30">
      <c r="A13" s="131" t="str">
        <f>[5]Drain!A42</f>
        <v>(B)5.5.5(a)</v>
      </c>
      <c r="B13" s="26" t="str">
        <f>[5]Drain!B42</f>
        <v>10mm dia 60%</v>
      </c>
      <c r="C13" s="144">
        <f>[5]Drain!G42</f>
        <v>0.69799999999999995</v>
      </c>
      <c r="D13" s="25" t="str">
        <f>D12</f>
        <v>M.T.</v>
      </c>
      <c r="E13" s="295">
        <f>[5]Drain!I42</f>
        <v>82096.539999999994</v>
      </c>
      <c r="F13" s="295">
        <f t="shared" si="0"/>
        <v>57303.38</v>
      </c>
    </row>
    <row r="14" spans="1:6" ht="60">
      <c r="A14" s="131" t="str">
        <f>[5]Drain!A44</f>
        <v>85.3.17.1</v>
      </c>
      <c r="B14" s="26" t="str">
        <f>[5]Drain!B44</f>
        <v>Centering and Shuttering including strutting, propping etc and removal of from for   Foundation , footing , bases of columns etc for mass concrete.</v>
      </c>
      <c r="C14" s="134">
        <f>[5]Drain!G50</f>
        <v>98.22</v>
      </c>
      <c r="D14" s="25" t="str">
        <f>[5]Drain!H50</f>
        <v>m2</v>
      </c>
      <c r="E14" s="295">
        <f>[5]Drain!I50</f>
        <v>194.5</v>
      </c>
      <c r="F14" s="295">
        <f t="shared" si="0"/>
        <v>19103.79</v>
      </c>
    </row>
    <row r="15" spans="1:6">
      <c r="A15" s="27">
        <v>6</v>
      </c>
      <c r="B15" s="28" t="s">
        <v>175</v>
      </c>
      <c r="C15" s="29"/>
      <c r="D15" s="25"/>
      <c r="E15" s="295"/>
      <c r="F15" s="295"/>
    </row>
    <row r="16" spans="1:6">
      <c r="A16" s="160" t="s">
        <v>13</v>
      </c>
      <c r="B16" s="296" t="s">
        <v>342</v>
      </c>
      <c r="C16" s="134">
        <f>[5]Drain!G52</f>
        <v>6.3</v>
      </c>
      <c r="D16" s="25" t="s">
        <v>158</v>
      </c>
      <c r="E16" s="275">
        <f>[3]Sheet1!I26</f>
        <v>848.82</v>
      </c>
      <c r="F16" s="295">
        <f t="shared" si="0"/>
        <v>5347.57</v>
      </c>
    </row>
    <row r="17" spans="1:6">
      <c r="A17" s="160" t="s">
        <v>16</v>
      </c>
      <c r="B17" s="296" t="str">
        <f>[5]Drain!B53</f>
        <v>Stone Dust (Lead 22 KM)</v>
      </c>
      <c r="C17" s="134">
        <f>[5]Drain!G53</f>
        <v>1.43</v>
      </c>
      <c r="D17" s="25" t="s">
        <v>158</v>
      </c>
      <c r="E17" s="275">
        <f>[3]Sheet1!I27</f>
        <v>447.06</v>
      </c>
      <c r="F17" s="295">
        <f t="shared" si="0"/>
        <v>639.29999999999995</v>
      </c>
    </row>
    <row r="18" spans="1:6">
      <c r="A18" s="160" t="s">
        <v>18</v>
      </c>
      <c r="B18" s="296" t="s">
        <v>19</v>
      </c>
      <c r="C18" s="134">
        <f>[5]Drain!G54</f>
        <v>3.68</v>
      </c>
      <c r="D18" s="25" t="s">
        <v>158</v>
      </c>
      <c r="E18" s="275">
        <f>[3]Sheet1!I28</f>
        <v>679.66</v>
      </c>
      <c r="F18" s="295">
        <f t="shared" si="0"/>
        <v>2501.15</v>
      </c>
    </row>
    <row r="19" spans="1:6">
      <c r="A19" s="160" t="s">
        <v>20</v>
      </c>
      <c r="B19" s="296" t="s">
        <v>21</v>
      </c>
      <c r="C19" s="134">
        <f>[5]Drain!G55</f>
        <v>12.6</v>
      </c>
      <c r="D19" s="25" t="s">
        <v>158</v>
      </c>
      <c r="E19" s="275">
        <f>[3]Sheet1!I29</f>
        <v>447.06</v>
      </c>
      <c r="F19" s="295">
        <f t="shared" si="0"/>
        <v>5632.96</v>
      </c>
    </row>
    <row r="20" spans="1:6">
      <c r="A20" s="160" t="s">
        <v>22</v>
      </c>
      <c r="B20" s="296" t="s">
        <v>23</v>
      </c>
      <c r="C20" s="134">
        <f>[5]Drain!G56</f>
        <v>23.04</v>
      </c>
      <c r="D20" s="25" t="s">
        <v>158</v>
      </c>
      <c r="E20" s="275">
        <f>[3]Sheet1!I30</f>
        <v>117.54</v>
      </c>
      <c r="F20" s="295">
        <f t="shared" si="0"/>
        <v>2708.12</v>
      </c>
    </row>
    <row r="21" spans="1:6" ht="18.75">
      <c r="A21" s="27"/>
      <c r="B21" s="28"/>
      <c r="C21" s="29"/>
      <c r="D21" s="25"/>
      <c r="E21" s="295" t="s">
        <v>59</v>
      </c>
      <c r="F21" s="106">
        <f>SUM(F5:F20)</f>
        <v>233278.68999999997</v>
      </c>
    </row>
    <row r="22" spans="1:6" ht="18.75">
      <c r="A22" s="378" t="s">
        <v>348</v>
      </c>
      <c r="B22" s="378"/>
      <c r="C22" s="378"/>
      <c r="D22" s="378"/>
      <c r="E22" s="378"/>
      <c r="F22" s="106">
        <f>ROUND((F21*18%),2)</f>
        <v>41990.16</v>
      </c>
    </row>
    <row r="23" spans="1:6" ht="18.75">
      <c r="A23" s="378" t="s">
        <v>24</v>
      </c>
      <c r="B23" s="378" t="s">
        <v>24</v>
      </c>
      <c r="C23" s="378"/>
      <c r="D23" s="378"/>
      <c r="E23" s="378"/>
      <c r="F23" s="106">
        <f>F21+F22</f>
        <v>275268.84999999998</v>
      </c>
    </row>
    <row r="24" spans="1:6" ht="18.75">
      <c r="A24" s="378" t="s">
        <v>349</v>
      </c>
      <c r="B24" s="378" t="s">
        <v>350</v>
      </c>
      <c r="C24" s="378"/>
      <c r="D24" s="378"/>
      <c r="E24" s="378"/>
      <c r="F24" s="106">
        <f>ROUND((F23*1%),2)</f>
        <v>2752.69</v>
      </c>
    </row>
    <row r="25" spans="1:6" ht="18.75">
      <c r="A25" s="378" t="s">
        <v>24</v>
      </c>
      <c r="B25" s="378" t="s">
        <v>24</v>
      </c>
      <c r="C25" s="378"/>
      <c r="D25" s="378"/>
      <c r="E25" s="378"/>
      <c r="F25" s="106">
        <f>F23+F24</f>
        <v>278021.53999999998</v>
      </c>
    </row>
    <row r="26" spans="1:6" ht="18.75">
      <c r="A26" s="378" t="s">
        <v>27</v>
      </c>
      <c r="B26" s="378" t="s">
        <v>27</v>
      </c>
      <c r="C26" s="378"/>
      <c r="D26" s="378"/>
      <c r="E26" s="378"/>
      <c r="F26" s="106">
        <f>ROUND((F25),0)</f>
        <v>278022</v>
      </c>
    </row>
  </sheetData>
  <mergeCells count="8">
    <mergeCell ref="A25:E25"/>
    <mergeCell ref="A26:E26"/>
    <mergeCell ref="A1:F1"/>
    <mergeCell ref="A2:F2"/>
    <mergeCell ref="A3:F3"/>
    <mergeCell ref="A22:E22"/>
    <mergeCell ref="A23:E23"/>
    <mergeCell ref="A24:E2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9.140625" style="30"/>
    <col min="2" max="2" width="42.28515625" style="31" customWidth="1"/>
    <col min="3" max="3" width="9.5703125" style="23" bestFit="1" customWidth="1"/>
    <col min="4" max="4" width="9.140625" style="32"/>
    <col min="5" max="5" width="9.140625" style="23"/>
    <col min="6" max="6" width="19.42578125" style="33" customWidth="1"/>
    <col min="7" max="16384" width="9.140625" style="23"/>
  </cols>
  <sheetData>
    <row r="1" spans="1:6" ht="18.75">
      <c r="A1" s="380" t="s">
        <v>0</v>
      </c>
      <c r="B1" s="380"/>
      <c r="C1" s="380"/>
      <c r="D1" s="380"/>
      <c r="E1" s="380"/>
      <c r="F1" s="380"/>
    </row>
    <row r="2" spans="1:6" ht="18.75">
      <c r="A2" s="380" t="s">
        <v>33</v>
      </c>
      <c r="B2" s="380"/>
      <c r="C2" s="380"/>
      <c r="D2" s="380"/>
      <c r="E2" s="380"/>
      <c r="F2" s="380"/>
    </row>
    <row r="3" spans="1:6" ht="57.75" customHeight="1">
      <c r="A3" s="381" t="s">
        <v>152</v>
      </c>
      <c r="B3" s="381"/>
      <c r="C3" s="381"/>
      <c r="D3" s="381"/>
      <c r="E3" s="381"/>
      <c r="F3" s="381"/>
    </row>
    <row r="4" spans="1:6">
      <c r="A4" s="24" t="s">
        <v>35</v>
      </c>
      <c r="B4" s="24" t="s">
        <v>36</v>
      </c>
      <c r="C4" s="24" t="s">
        <v>37</v>
      </c>
      <c r="D4" s="24" t="s">
        <v>5</v>
      </c>
      <c r="E4" s="24" t="s">
        <v>38</v>
      </c>
      <c r="F4" s="24" t="s">
        <v>39</v>
      </c>
    </row>
    <row r="5" spans="1:6" ht="30">
      <c r="A5" s="131" t="s">
        <v>153</v>
      </c>
      <c r="B5" s="26" t="s">
        <v>154</v>
      </c>
      <c r="C5" s="134">
        <v>10</v>
      </c>
      <c r="D5" s="25" t="s">
        <v>155</v>
      </c>
      <c r="E5" s="134">
        <v>326.85000000000002</v>
      </c>
      <c r="F5" s="134">
        <f>C5*E5</f>
        <v>3268.5</v>
      </c>
    </row>
    <row r="6" spans="1:6" ht="120">
      <c r="A6" s="135" t="s">
        <v>156</v>
      </c>
      <c r="B6" s="26" t="s">
        <v>157</v>
      </c>
      <c r="C6" s="134">
        <v>16.989999999999998</v>
      </c>
      <c r="D6" s="25" t="s">
        <v>158</v>
      </c>
      <c r="E6" s="29">
        <v>151.82</v>
      </c>
      <c r="F6" s="134">
        <f t="shared" ref="F6:F19" si="0">C6*E6</f>
        <v>2579.4217999999996</v>
      </c>
    </row>
    <row r="7" spans="1:6" ht="105">
      <c r="A7" s="135" t="s">
        <v>87</v>
      </c>
      <c r="B7" s="26" t="s">
        <v>159</v>
      </c>
      <c r="C7" s="134">
        <v>2.12</v>
      </c>
      <c r="D7" s="25" t="s">
        <v>158</v>
      </c>
      <c r="E7" s="29">
        <v>598.51</v>
      </c>
      <c r="F7" s="134">
        <f t="shared" si="0"/>
        <v>1268.8412000000001</v>
      </c>
    </row>
    <row r="8" spans="1:6" ht="90">
      <c r="A8" s="135" t="s">
        <v>160</v>
      </c>
      <c r="B8" s="26" t="s">
        <v>161</v>
      </c>
      <c r="C8" s="134">
        <v>3.54</v>
      </c>
      <c r="D8" s="25" t="s">
        <v>158</v>
      </c>
      <c r="E8" s="29">
        <v>1756.4</v>
      </c>
      <c r="F8" s="134">
        <f t="shared" si="0"/>
        <v>6217.6559999999999</v>
      </c>
    </row>
    <row r="9" spans="1:6" ht="60">
      <c r="A9" s="131" t="s">
        <v>162</v>
      </c>
      <c r="B9" s="26" t="s">
        <v>163</v>
      </c>
      <c r="C9" s="134">
        <v>8.5</v>
      </c>
      <c r="D9" s="25" t="s">
        <v>158</v>
      </c>
      <c r="E9" s="29">
        <v>6082.45</v>
      </c>
      <c r="F9" s="134">
        <f t="shared" si="0"/>
        <v>51700.824999999997</v>
      </c>
    </row>
    <row r="10" spans="1:6" ht="135">
      <c r="A10" s="131" t="s">
        <v>164</v>
      </c>
      <c r="B10" s="26" t="s">
        <v>165</v>
      </c>
      <c r="C10" s="134">
        <v>2.8</v>
      </c>
      <c r="D10" s="25" t="s">
        <v>158</v>
      </c>
      <c r="E10" s="29">
        <v>6308.87</v>
      </c>
      <c r="F10" s="134">
        <f t="shared" si="0"/>
        <v>17664.835999999999</v>
      </c>
    </row>
    <row r="11" spans="1:6" ht="120">
      <c r="A11" s="26" t="s">
        <v>166</v>
      </c>
      <c r="B11" s="26" t="s">
        <v>167</v>
      </c>
      <c r="C11" s="131">
        <v>0.58899999999999997</v>
      </c>
      <c r="D11" s="26" t="s">
        <v>10</v>
      </c>
      <c r="E11" s="26">
        <v>83314.02</v>
      </c>
      <c r="F11" s="26">
        <f t="shared" si="0"/>
        <v>49071.957779999997</v>
      </c>
    </row>
    <row r="12" spans="1:6" ht="120">
      <c r="A12" s="131" t="s">
        <v>168</v>
      </c>
      <c r="B12" s="26" t="s">
        <v>169</v>
      </c>
      <c r="C12" s="134">
        <v>0.14899999999999999</v>
      </c>
      <c r="D12" s="25" t="s">
        <v>10</v>
      </c>
      <c r="E12" s="29">
        <v>82096.539999999994</v>
      </c>
      <c r="F12" s="134">
        <f t="shared" si="0"/>
        <v>12232.384459999999</v>
      </c>
    </row>
    <row r="13" spans="1:6" ht="60">
      <c r="A13" s="26" t="s">
        <v>170</v>
      </c>
      <c r="B13" s="26" t="s">
        <v>171</v>
      </c>
      <c r="C13" s="134">
        <v>99.62</v>
      </c>
      <c r="D13" s="26" t="s">
        <v>172</v>
      </c>
      <c r="E13" s="136">
        <v>194.5</v>
      </c>
      <c r="F13" s="134">
        <f t="shared" si="0"/>
        <v>19376.09</v>
      </c>
    </row>
    <row r="14" spans="1:6" ht="150">
      <c r="A14" s="26" t="s">
        <v>173</v>
      </c>
      <c r="B14" s="26" t="s">
        <v>174</v>
      </c>
      <c r="C14" s="26">
        <v>11.33</v>
      </c>
      <c r="D14" s="26" t="s">
        <v>158</v>
      </c>
      <c r="E14" s="26">
        <v>4961.7299999999996</v>
      </c>
      <c r="F14" s="26">
        <f t="shared" si="0"/>
        <v>56216.400899999993</v>
      </c>
    </row>
    <row r="15" spans="1:6">
      <c r="A15" s="27">
        <v>11</v>
      </c>
      <c r="B15" s="28" t="s">
        <v>175</v>
      </c>
      <c r="C15" s="134"/>
      <c r="D15" s="25"/>
      <c r="E15" s="29"/>
      <c r="F15" s="134"/>
    </row>
    <row r="16" spans="1:6">
      <c r="A16" s="27" t="s">
        <v>176</v>
      </c>
      <c r="B16" s="26" t="s">
        <v>177</v>
      </c>
      <c r="C16" s="26">
        <f>4.87+4.86</f>
        <v>9.73</v>
      </c>
      <c r="D16" s="26" t="s">
        <v>158</v>
      </c>
      <c r="E16" s="26">
        <v>848.82</v>
      </c>
      <c r="F16" s="134">
        <f t="shared" si="0"/>
        <v>8259.0186000000012</v>
      </c>
    </row>
    <row r="17" spans="1:6">
      <c r="A17" s="27" t="s">
        <v>178</v>
      </c>
      <c r="B17" s="26" t="s">
        <v>179</v>
      </c>
      <c r="C17" s="26">
        <v>2.12</v>
      </c>
      <c r="D17" s="26" t="s">
        <v>158</v>
      </c>
      <c r="E17" s="26">
        <v>328.02</v>
      </c>
      <c r="F17" s="134">
        <f t="shared" si="0"/>
        <v>695.40239999999994</v>
      </c>
    </row>
    <row r="18" spans="1:6">
      <c r="A18" s="27" t="s">
        <v>180</v>
      </c>
      <c r="B18" s="26" t="s">
        <v>181</v>
      </c>
      <c r="C18" s="26">
        <v>3.54</v>
      </c>
      <c r="D18" s="26" t="s">
        <v>158</v>
      </c>
      <c r="E18" s="26">
        <v>679.66</v>
      </c>
      <c r="F18" s="134">
        <f t="shared" si="0"/>
        <v>2405.9964</v>
      </c>
    </row>
    <row r="19" spans="1:6">
      <c r="A19" s="27" t="s">
        <v>182</v>
      </c>
      <c r="B19" s="26" t="s">
        <v>183</v>
      </c>
      <c r="C19" s="26">
        <f>9.74+9.72</f>
        <v>19.46</v>
      </c>
      <c r="D19" s="26" t="s">
        <v>158</v>
      </c>
      <c r="E19" s="26">
        <v>447.06</v>
      </c>
      <c r="F19" s="134">
        <f t="shared" si="0"/>
        <v>8699.7875999999997</v>
      </c>
    </row>
    <row r="20" spans="1:6">
      <c r="A20" s="27" t="s">
        <v>184</v>
      </c>
      <c r="B20" s="26" t="s">
        <v>185</v>
      </c>
      <c r="C20" s="26">
        <v>16.989999999999998</v>
      </c>
      <c r="D20" s="26" t="s">
        <v>158</v>
      </c>
      <c r="E20" s="26">
        <v>177.1</v>
      </c>
      <c r="F20" s="134">
        <v>1997</v>
      </c>
    </row>
    <row r="21" spans="1:6">
      <c r="A21" s="27"/>
      <c r="B21" s="28"/>
      <c r="C21" s="29"/>
      <c r="D21" s="25"/>
      <c r="E21" s="29" t="s">
        <v>59</v>
      </c>
      <c r="F21" s="134">
        <f>SUM(F5:F20)</f>
        <v>241654.11814000004</v>
      </c>
    </row>
    <row r="22" spans="1:6" ht="30">
      <c r="A22" s="27"/>
      <c r="B22" s="28"/>
      <c r="C22" s="29"/>
      <c r="D22" s="25"/>
      <c r="E22" s="26" t="s">
        <v>60</v>
      </c>
      <c r="F22" s="26">
        <f>F21*18/100</f>
        <v>43497.741265200006</v>
      </c>
    </row>
    <row r="23" spans="1:6">
      <c r="A23" s="27"/>
      <c r="B23" s="28"/>
      <c r="C23" s="29"/>
      <c r="D23" s="25"/>
      <c r="E23" s="26"/>
      <c r="F23" s="26">
        <f>F22+F21</f>
        <v>285151.85940520006</v>
      </c>
    </row>
    <row r="24" spans="1:6" ht="30">
      <c r="A24" s="27"/>
      <c r="B24" s="28"/>
      <c r="C24" s="29"/>
      <c r="D24" s="25"/>
      <c r="E24" s="26" t="s">
        <v>61</v>
      </c>
      <c r="F24" s="26">
        <f>F23*1/100</f>
        <v>2851.5185940520005</v>
      </c>
    </row>
    <row r="25" spans="1:6">
      <c r="A25" s="27"/>
      <c r="B25" s="28"/>
      <c r="C25" s="29"/>
      <c r="D25" s="25"/>
      <c r="E25" s="26" t="s">
        <v>59</v>
      </c>
      <c r="F25" s="26">
        <f>F24+F23</f>
        <v>288003.37799925206</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30"/>
  <sheetViews>
    <sheetView topLeftCell="A10" workbookViewId="0">
      <selection sqref="A1:F1"/>
    </sheetView>
  </sheetViews>
  <sheetFormatPr defaultColWidth="9.140625" defaultRowHeight="15"/>
  <cols>
    <col min="1" max="1" width="10.85546875" customWidth="1"/>
    <col min="2" max="2" width="50" customWidth="1"/>
    <col min="3" max="3" width="11.28515625" customWidth="1"/>
    <col min="4" max="4" width="5.5703125" bestFit="1" customWidth="1"/>
    <col min="5" max="5" width="11.42578125" bestFit="1" customWidth="1"/>
    <col min="6" max="6" width="19.28515625" customWidth="1"/>
  </cols>
  <sheetData>
    <row r="1" spans="1:8" ht="57.95" customHeight="1">
      <c r="A1" s="384" t="s">
        <v>298</v>
      </c>
      <c r="B1" s="384"/>
      <c r="C1" s="384"/>
      <c r="D1" s="384"/>
      <c r="E1" s="384"/>
      <c r="F1" s="384"/>
    </row>
    <row r="2" spans="1:8" ht="31.5">
      <c r="A2" s="155" t="s">
        <v>64</v>
      </c>
      <c r="B2" s="155" t="s">
        <v>262</v>
      </c>
      <c r="C2" s="89" t="s">
        <v>299</v>
      </c>
      <c r="D2" s="89" t="s">
        <v>264</v>
      </c>
      <c r="E2" s="89" t="s">
        <v>300</v>
      </c>
      <c r="F2" s="89" t="s">
        <v>301</v>
      </c>
    </row>
    <row r="3" spans="1:8" ht="31.5">
      <c r="A3" s="89">
        <v>1</v>
      </c>
      <c r="B3" s="230" t="s">
        <v>302</v>
      </c>
      <c r="C3" s="98">
        <v>10</v>
      </c>
      <c r="D3" s="98" t="s">
        <v>303</v>
      </c>
      <c r="E3" s="231">
        <v>326.85000000000002</v>
      </c>
      <c r="F3" s="231">
        <f>ROUND(C3*E3,2)</f>
        <v>3268.5</v>
      </c>
    </row>
    <row r="4" spans="1:8" ht="126">
      <c r="A4" s="89" t="s">
        <v>304</v>
      </c>
      <c r="B4" s="230" t="s">
        <v>305</v>
      </c>
      <c r="C4" s="232">
        <v>68.054375531011047</v>
      </c>
      <c r="D4" s="233" t="s">
        <v>15</v>
      </c>
      <c r="E4" s="234">
        <v>151.82</v>
      </c>
      <c r="F4" s="234">
        <v>10332.02</v>
      </c>
    </row>
    <row r="5" spans="1:8" ht="95.45" customHeight="1">
      <c r="A5" s="89" t="s">
        <v>306</v>
      </c>
      <c r="B5" s="96" t="s">
        <v>46</v>
      </c>
      <c r="C5" s="232">
        <v>6.372132540356839</v>
      </c>
      <c r="D5" s="233" t="s">
        <v>15</v>
      </c>
      <c r="E5" s="234">
        <v>589.51</v>
      </c>
      <c r="F5" s="234">
        <v>3756.44</v>
      </c>
    </row>
    <row r="6" spans="1:8" ht="78.75">
      <c r="A6" s="89" t="s">
        <v>307</v>
      </c>
      <c r="B6" s="230" t="s">
        <v>213</v>
      </c>
      <c r="C6" s="232">
        <v>10.705182667799489</v>
      </c>
      <c r="D6" s="233" t="s">
        <v>15</v>
      </c>
      <c r="E6" s="234">
        <v>1756.4</v>
      </c>
      <c r="F6" s="234">
        <v>18802.580000000002</v>
      </c>
    </row>
    <row r="7" spans="1:8" ht="126">
      <c r="A7" s="235" t="s">
        <v>308</v>
      </c>
      <c r="B7" s="236" t="s">
        <v>50</v>
      </c>
      <c r="C7" s="237">
        <v>31.860662701784197</v>
      </c>
      <c r="D7" s="238" t="s">
        <v>15</v>
      </c>
      <c r="E7" s="239">
        <v>6082.45</v>
      </c>
      <c r="F7" s="234">
        <v>193790.89</v>
      </c>
      <c r="H7" s="200"/>
    </row>
    <row r="8" spans="1:8" ht="117.95" customHeight="1">
      <c r="A8" s="235" t="s">
        <v>225</v>
      </c>
      <c r="B8" s="240" t="s">
        <v>52</v>
      </c>
      <c r="C8" s="241">
        <v>12.744265080713678</v>
      </c>
      <c r="D8" s="242" t="s">
        <v>15</v>
      </c>
      <c r="E8" s="243">
        <v>6308.87</v>
      </c>
      <c r="F8" s="234">
        <v>80401.91</v>
      </c>
    </row>
    <row r="9" spans="1:8" ht="78.75">
      <c r="A9" s="235" t="s">
        <v>309</v>
      </c>
      <c r="B9" s="244" t="s">
        <v>310</v>
      </c>
      <c r="C9" s="241"/>
      <c r="D9" s="242"/>
      <c r="E9" s="243"/>
      <c r="F9" s="234"/>
    </row>
    <row r="10" spans="1:8" ht="15.75">
      <c r="A10" s="235"/>
      <c r="B10" s="230" t="s">
        <v>311</v>
      </c>
      <c r="C10" s="245">
        <v>2.3624999999999998</v>
      </c>
      <c r="D10" s="242" t="s">
        <v>10</v>
      </c>
      <c r="E10" s="246">
        <v>82096.539999999994</v>
      </c>
      <c r="F10" s="234">
        <f>ROUND(C10*E10,2)</f>
        <v>193953.08</v>
      </c>
    </row>
    <row r="11" spans="1:8" ht="15.75">
      <c r="A11" s="235"/>
      <c r="B11" s="230" t="s">
        <v>312</v>
      </c>
      <c r="C11" s="245">
        <v>1.575</v>
      </c>
      <c r="D11" s="242" t="s">
        <v>10</v>
      </c>
      <c r="E11" s="246">
        <v>83314.02</v>
      </c>
      <c r="F11" s="234">
        <f>ROUND(C11*E11,2)</f>
        <v>131219.57999999999</v>
      </c>
    </row>
    <row r="12" spans="1:8" ht="63">
      <c r="A12" s="89" t="s">
        <v>313</v>
      </c>
      <c r="B12" s="96" t="s">
        <v>57</v>
      </c>
      <c r="C12" s="241">
        <v>710.96654275092942</v>
      </c>
      <c r="D12" s="242" t="s">
        <v>11</v>
      </c>
      <c r="E12" s="243">
        <v>194.5</v>
      </c>
      <c r="F12" s="234">
        <v>138282.99</v>
      </c>
    </row>
    <row r="13" spans="1:8" ht="18.75">
      <c r="A13" s="89">
        <v>9</v>
      </c>
      <c r="B13" s="247" t="s">
        <v>12</v>
      </c>
      <c r="C13" s="248"/>
      <c r="D13" s="249"/>
      <c r="E13" s="250"/>
      <c r="F13" s="231"/>
    </row>
    <row r="14" spans="1:8" ht="15.75">
      <c r="A14" s="89"/>
      <c r="B14" s="244" t="s">
        <v>314</v>
      </c>
      <c r="C14" s="248" t="e">
        <f>PRODUCT([6]Material!G8-[6]Material!G4)</f>
        <v>#REF!</v>
      </c>
      <c r="D14" s="249" t="s">
        <v>15</v>
      </c>
      <c r="E14" s="250">
        <v>848.82</v>
      </c>
      <c r="F14" s="231" t="e">
        <f t="shared" ref="F14:F18" si="0">ROUND(C14*E14,2)</f>
        <v>#REF!</v>
      </c>
    </row>
    <row r="15" spans="1:8" ht="15.75">
      <c r="A15" s="89"/>
      <c r="B15" s="251" t="s">
        <v>315</v>
      </c>
      <c r="C15" s="248">
        <f>[6]Material!F8</f>
        <v>6.372132540356839</v>
      </c>
      <c r="D15" s="249" t="s">
        <v>15</v>
      </c>
      <c r="E15" s="250">
        <v>313.14</v>
      </c>
      <c r="F15" s="231">
        <f t="shared" si="0"/>
        <v>1995.37</v>
      </c>
    </row>
    <row r="16" spans="1:8" ht="15.75">
      <c r="A16" s="89"/>
      <c r="B16" s="244" t="s">
        <v>316</v>
      </c>
      <c r="C16" s="248">
        <f>PRODUCT([6]Material!H8)</f>
        <v>27.40016992353441</v>
      </c>
      <c r="D16" s="249" t="s">
        <v>15</v>
      </c>
      <c r="E16" s="250">
        <v>447.06</v>
      </c>
      <c r="F16" s="231">
        <f t="shared" si="0"/>
        <v>12249.52</v>
      </c>
    </row>
    <row r="17" spans="1:6" ht="15.75">
      <c r="A17" s="89"/>
      <c r="B17" s="244" t="s">
        <v>317</v>
      </c>
      <c r="C17" s="248">
        <f>PRODUCT([6]Material!J8)</f>
        <v>10.705182667799489</v>
      </c>
      <c r="D17" s="249" t="s">
        <v>15</v>
      </c>
      <c r="E17" s="250">
        <v>679.66</v>
      </c>
      <c r="F17" s="231">
        <f t="shared" si="0"/>
        <v>7275.88</v>
      </c>
    </row>
    <row r="18" spans="1:6" ht="15.75">
      <c r="A18" s="89"/>
      <c r="B18" s="244" t="s">
        <v>318</v>
      </c>
      <c r="C18" s="248">
        <f>[6]Material!K8</f>
        <v>68.054375531011047</v>
      </c>
      <c r="D18" s="249" t="s">
        <v>15</v>
      </c>
      <c r="E18" s="250">
        <v>117.54</v>
      </c>
      <c r="F18" s="231">
        <f t="shared" si="0"/>
        <v>7999.11</v>
      </c>
    </row>
    <row r="19" spans="1:6" ht="15.75">
      <c r="A19" s="89"/>
      <c r="B19" s="208"/>
      <c r="C19" s="385" t="s">
        <v>24</v>
      </c>
      <c r="D19" s="385"/>
      <c r="E19" s="385"/>
      <c r="F19" s="250" t="e">
        <f>SUM(F3:F18)</f>
        <v>#REF!</v>
      </c>
    </row>
    <row r="20" spans="1:6" ht="15.75">
      <c r="A20" s="252"/>
      <c r="B20" s="252"/>
      <c r="C20" s="253"/>
      <c r="D20" s="386" t="s">
        <v>319</v>
      </c>
      <c r="E20" s="387"/>
      <c r="F20" s="250" t="e">
        <f>F19*18%</f>
        <v>#REF!</v>
      </c>
    </row>
    <row r="21" spans="1:6" ht="15.75">
      <c r="A21" s="252"/>
      <c r="B21" s="252"/>
      <c r="C21" s="253"/>
      <c r="D21" s="386" t="s">
        <v>24</v>
      </c>
      <c r="E21" s="387"/>
      <c r="F21" s="250" t="e">
        <f>SUM(F19:F20)</f>
        <v>#REF!</v>
      </c>
    </row>
    <row r="22" spans="1:6" ht="15.75">
      <c r="C22" s="254"/>
      <c r="D22" s="388" t="s">
        <v>320</v>
      </c>
      <c r="E22" s="388"/>
      <c r="F22" s="255" t="e">
        <f>F21*1/100</f>
        <v>#REF!</v>
      </c>
    </row>
    <row r="23" spans="1:6" ht="15.75">
      <c r="C23" s="254"/>
      <c r="D23" s="388" t="s">
        <v>321</v>
      </c>
      <c r="E23" s="388"/>
      <c r="F23" s="256" t="e">
        <f>SUM(F21:F22)</f>
        <v>#REF!</v>
      </c>
    </row>
    <row r="24" spans="1:6" ht="15.75">
      <c r="C24" s="257"/>
      <c r="D24" s="257"/>
      <c r="E24" s="258" t="s">
        <v>322</v>
      </c>
      <c r="F24" s="341">
        <v>971265</v>
      </c>
    </row>
    <row r="29" spans="1:6">
      <c r="A29" s="382"/>
      <c r="B29" s="382"/>
      <c r="C29" s="382"/>
      <c r="D29" s="382"/>
      <c r="E29" s="382"/>
      <c r="F29" s="382"/>
    </row>
    <row r="30" spans="1:6">
      <c r="A30" s="383"/>
      <c r="B30" s="383"/>
      <c r="C30" s="383"/>
      <c r="D30" s="383"/>
      <c r="E30" s="383"/>
      <c r="F30" s="383"/>
    </row>
  </sheetData>
  <mergeCells count="8">
    <mergeCell ref="A29:F29"/>
    <mergeCell ref="A30:F30"/>
    <mergeCell ref="A1:F1"/>
    <mergeCell ref="C19:E19"/>
    <mergeCell ref="D20:E20"/>
    <mergeCell ref="D21:E21"/>
    <mergeCell ref="D22:E22"/>
    <mergeCell ref="D23:E2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tabColor theme="0"/>
  </sheetPr>
  <dimension ref="A1:H32"/>
  <sheetViews>
    <sheetView topLeftCell="A16" workbookViewId="0">
      <selection activeCell="F21" sqref="F21"/>
    </sheetView>
  </sheetViews>
  <sheetFormatPr defaultColWidth="9.140625" defaultRowHeight="15"/>
  <cols>
    <col min="1" max="1" width="10.85546875" style="329" customWidth="1"/>
    <col min="2" max="2" width="50" style="329" customWidth="1"/>
    <col min="3" max="3" width="11.28515625" style="329" customWidth="1"/>
    <col min="4" max="4" width="5.5703125" style="329" bestFit="1" customWidth="1"/>
    <col min="5" max="5" width="14.7109375" style="329" bestFit="1" customWidth="1"/>
    <col min="6" max="6" width="19.28515625" style="329" customWidth="1"/>
    <col min="7" max="16384" width="9.140625" style="329"/>
  </cols>
  <sheetData>
    <row r="1" spans="1:8" ht="57.95" customHeight="1">
      <c r="A1" s="389" t="s">
        <v>417</v>
      </c>
      <c r="B1" s="390"/>
      <c r="C1" s="390"/>
      <c r="D1" s="390"/>
      <c r="E1" s="390"/>
      <c r="F1" s="391"/>
    </row>
    <row r="2" spans="1:8" ht="32.25" customHeight="1">
      <c r="A2" s="392" t="s">
        <v>75</v>
      </c>
      <c r="B2" s="392"/>
      <c r="C2" s="392"/>
      <c r="D2" s="392"/>
      <c r="E2" s="392"/>
      <c r="F2" s="392"/>
    </row>
    <row r="3" spans="1:8" ht="31.5">
      <c r="A3" s="328" t="s">
        <v>64</v>
      </c>
      <c r="B3" s="328" t="s">
        <v>262</v>
      </c>
      <c r="C3" s="89" t="s">
        <v>299</v>
      </c>
      <c r="D3" s="89" t="s">
        <v>264</v>
      </c>
      <c r="E3" s="89" t="s">
        <v>300</v>
      </c>
      <c r="F3" s="89" t="s">
        <v>301</v>
      </c>
    </row>
    <row r="4" spans="1:8" ht="31.5">
      <c r="A4" s="89">
        <v>1</v>
      </c>
      <c r="B4" s="230" t="s">
        <v>302</v>
      </c>
      <c r="C4" s="360">
        <v>10</v>
      </c>
      <c r="D4" s="360" t="s">
        <v>303</v>
      </c>
      <c r="E4" s="361">
        <v>326.85000000000002</v>
      </c>
      <c r="F4" s="361">
        <f>ROUND(C4*E4,2)</f>
        <v>3268.5</v>
      </c>
    </row>
    <row r="5" spans="1:8" ht="126">
      <c r="A5" s="89" t="s">
        <v>304</v>
      </c>
      <c r="B5" s="230" t="s">
        <v>305</v>
      </c>
      <c r="C5" s="362">
        <v>0.12744265080713679</v>
      </c>
      <c r="D5" s="360" t="s">
        <v>15</v>
      </c>
      <c r="E5" s="361">
        <v>151.82</v>
      </c>
      <c r="F5" s="361">
        <v>19.350000000000001</v>
      </c>
    </row>
    <row r="6" spans="1:8" ht="95.45" customHeight="1">
      <c r="A6" s="89" t="s">
        <v>306</v>
      </c>
      <c r="B6" s="96" t="s">
        <v>46</v>
      </c>
      <c r="C6" s="362">
        <v>3.1152647975077881</v>
      </c>
      <c r="D6" s="360" t="s">
        <v>15</v>
      </c>
      <c r="E6" s="361">
        <v>589.51</v>
      </c>
      <c r="F6" s="361">
        <v>1836.48</v>
      </c>
    </row>
    <row r="7" spans="1:8" ht="78.75">
      <c r="A7" s="89" t="s">
        <v>307</v>
      </c>
      <c r="B7" s="230" t="s">
        <v>213</v>
      </c>
      <c r="C7" s="362">
        <v>5.2336448598130829</v>
      </c>
      <c r="D7" s="360" t="s">
        <v>15</v>
      </c>
      <c r="E7" s="361">
        <v>1756.4</v>
      </c>
      <c r="F7" s="361">
        <v>9192.3700000000008</v>
      </c>
    </row>
    <row r="8" spans="1:8" ht="138" customHeight="1">
      <c r="A8" s="235" t="s">
        <v>418</v>
      </c>
      <c r="B8" s="363" t="s">
        <v>419</v>
      </c>
      <c r="C8" s="364">
        <v>43.613707165109034</v>
      </c>
      <c r="D8" s="365" t="s">
        <v>15</v>
      </c>
      <c r="E8" s="366">
        <v>4961.7299999999996</v>
      </c>
      <c r="F8" s="361">
        <v>216399.44</v>
      </c>
      <c r="H8" s="330"/>
    </row>
    <row r="9" spans="1:8" ht="126">
      <c r="A9" s="235" t="s">
        <v>49</v>
      </c>
      <c r="B9" s="236" t="s">
        <v>50</v>
      </c>
      <c r="C9" s="250">
        <v>15.57632398753894</v>
      </c>
      <c r="D9" s="367" t="s">
        <v>15</v>
      </c>
      <c r="E9" s="331">
        <v>6082.45</v>
      </c>
      <c r="F9" s="361">
        <v>94742.21</v>
      </c>
      <c r="H9" s="330"/>
    </row>
    <row r="10" spans="1:8" ht="117.95" customHeight="1">
      <c r="A10" s="235" t="s">
        <v>225</v>
      </c>
      <c r="B10" s="240" t="s">
        <v>52</v>
      </c>
      <c r="C10" s="248">
        <v>6.2305295950155761</v>
      </c>
      <c r="D10" s="249" t="s">
        <v>15</v>
      </c>
      <c r="E10" s="368">
        <v>6308.87</v>
      </c>
      <c r="F10" s="361">
        <v>39307.599999999999</v>
      </c>
    </row>
    <row r="11" spans="1:8" ht="78.75">
      <c r="A11" s="235" t="s">
        <v>309</v>
      </c>
      <c r="B11" s="244" t="s">
        <v>310</v>
      </c>
      <c r="C11" s="248"/>
      <c r="D11" s="249"/>
      <c r="E11" s="368"/>
      <c r="F11" s="361"/>
    </row>
    <row r="12" spans="1:8" ht="15.75">
      <c r="A12" s="235"/>
      <c r="B12" s="230" t="s">
        <v>311</v>
      </c>
      <c r="C12" s="369">
        <v>1.155</v>
      </c>
      <c r="D12" s="249" t="s">
        <v>10</v>
      </c>
      <c r="E12" s="370">
        <v>82096.539999999994</v>
      </c>
      <c r="F12" s="361">
        <f t="shared" ref="F12:F20" si="0">ROUND(C12*E12,2)</f>
        <v>94821.5</v>
      </c>
    </row>
    <row r="13" spans="1:8" ht="15.75">
      <c r="A13" s="235"/>
      <c r="B13" s="230" t="s">
        <v>312</v>
      </c>
      <c r="C13" s="369">
        <v>0.77</v>
      </c>
      <c r="D13" s="249" t="s">
        <v>10</v>
      </c>
      <c r="E13" s="370">
        <v>83314.02</v>
      </c>
      <c r="F13" s="361">
        <f>ROUND(C13*E13,2)</f>
        <v>64151.8</v>
      </c>
    </row>
    <row r="14" spans="1:8" ht="63">
      <c r="A14" s="89" t="s">
        <v>56</v>
      </c>
      <c r="B14" s="96" t="s">
        <v>57</v>
      </c>
      <c r="C14" s="248">
        <v>260.22304832713758</v>
      </c>
      <c r="D14" s="249" t="s">
        <v>11</v>
      </c>
      <c r="E14" s="368">
        <v>194.5</v>
      </c>
      <c r="F14" s="361">
        <v>50613.38</v>
      </c>
    </row>
    <row r="15" spans="1:8" ht="18.75">
      <c r="A15" s="89">
        <v>10</v>
      </c>
      <c r="B15" s="247" t="s">
        <v>12</v>
      </c>
      <c r="C15" s="248"/>
      <c r="D15" s="249"/>
      <c r="E15" s="250"/>
      <c r="F15" s="361"/>
    </row>
    <row r="16" spans="1:8" ht="15.75">
      <c r="A16" s="89"/>
      <c r="B16" s="244" t="s">
        <v>314</v>
      </c>
      <c r="C16" s="248" t="e">
        <f>PRODUCT([7]Material!G9-[7]Material!G4)</f>
        <v>#REF!</v>
      </c>
      <c r="D16" s="249" t="s">
        <v>15</v>
      </c>
      <c r="E16" s="250">
        <v>848.82</v>
      </c>
      <c r="F16" s="361" t="e">
        <f t="shared" si="0"/>
        <v>#REF!</v>
      </c>
    </row>
    <row r="17" spans="1:6" ht="20.25" customHeight="1">
      <c r="A17" s="89"/>
      <c r="B17" s="251" t="s">
        <v>315</v>
      </c>
      <c r="C17" s="248">
        <f>[7]Material!F9</f>
        <v>3.1152647975077881</v>
      </c>
      <c r="D17" s="249" t="s">
        <v>15</v>
      </c>
      <c r="E17" s="250">
        <v>313.14</v>
      </c>
      <c r="F17" s="361">
        <f t="shared" si="0"/>
        <v>975.51</v>
      </c>
    </row>
    <row r="18" spans="1:6" ht="20.25" customHeight="1">
      <c r="A18" s="89"/>
      <c r="B18" s="244" t="s">
        <v>316</v>
      </c>
      <c r="C18" s="248">
        <f>PRODUCT([7]Material!H9)</f>
        <v>50.903426791277255</v>
      </c>
      <c r="D18" s="249" t="s">
        <v>15</v>
      </c>
      <c r="E18" s="250">
        <v>447.06</v>
      </c>
      <c r="F18" s="361">
        <f t="shared" si="0"/>
        <v>22756.89</v>
      </c>
    </row>
    <row r="19" spans="1:6" ht="20.25" customHeight="1">
      <c r="A19" s="89"/>
      <c r="B19" s="244" t="s">
        <v>317</v>
      </c>
      <c r="C19" s="248">
        <f>PRODUCT([7]Material!J9)</f>
        <v>5.2336448598130829</v>
      </c>
      <c r="D19" s="249" t="s">
        <v>15</v>
      </c>
      <c r="E19" s="250">
        <v>679.66</v>
      </c>
      <c r="F19" s="361">
        <f t="shared" si="0"/>
        <v>3557.1</v>
      </c>
    </row>
    <row r="20" spans="1:6" ht="20.25" customHeight="1">
      <c r="A20" s="89"/>
      <c r="B20" s="244" t="s">
        <v>318</v>
      </c>
      <c r="C20" s="248">
        <f>[7]Material!K9</f>
        <v>0.12744265080713679</v>
      </c>
      <c r="D20" s="249" t="s">
        <v>15</v>
      </c>
      <c r="E20" s="250">
        <v>117.54</v>
      </c>
      <c r="F20" s="361">
        <f t="shared" si="0"/>
        <v>14.98</v>
      </c>
    </row>
    <row r="21" spans="1:6" ht="20.25" customHeight="1">
      <c r="A21" s="89"/>
      <c r="B21" s="208"/>
      <c r="C21" s="385" t="s">
        <v>24</v>
      </c>
      <c r="D21" s="385"/>
      <c r="E21" s="385"/>
      <c r="F21" s="250" t="e">
        <f>SUM(F4:F20)</f>
        <v>#REF!</v>
      </c>
    </row>
    <row r="22" spans="1:6" ht="20.25" customHeight="1">
      <c r="A22" s="208"/>
      <c r="B22" s="208"/>
      <c r="C22" s="331"/>
      <c r="D22" s="385" t="s">
        <v>319</v>
      </c>
      <c r="E22" s="385"/>
      <c r="F22" s="250" t="e">
        <f>F21*18%</f>
        <v>#REF!</v>
      </c>
    </row>
    <row r="23" spans="1:6" ht="20.25" customHeight="1">
      <c r="A23" s="208"/>
      <c r="B23" s="208"/>
      <c r="C23" s="331"/>
      <c r="D23" s="385" t="s">
        <v>24</v>
      </c>
      <c r="E23" s="385"/>
      <c r="F23" s="250" t="e">
        <f>SUM(F21:F22)</f>
        <v>#REF!</v>
      </c>
    </row>
    <row r="24" spans="1:6" ht="20.25" customHeight="1">
      <c r="A24" s="343"/>
      <c r="B24" s="343"/>
      <c r="C24" s="254"/>
      <c r="D24" s="388" t="s">
        <v>320</v>
      </c>
      <c r="E24" s="388"/>
      <c r="F24" s="255" t="e">
        <f>F23*1/100</f>
        <v>#REF!</v>
      </c>
    </row>
    <row r="25" spans="1:6" ht="20.25" customHeight="1">
      <c r="A25" s="343"/>
      <c r="B25" s="343"/>
      <c r="C25" s="254"/>
      <c r="D25" s="388" t="s">
        <v>321</v>
      </c>
      <c r="E25" s="388"/>
      <c r="F25" s="256" t="e">
        <f>SUM(F23:F24)</f>
        <v>#REF!</v>
      </c>
    </row>
    <row r="26" spans="1:6" ht="20.25" customHeight="1">
      <c r="A26" s="343"/>
      <c r="B26" s="343"/>
      <c r="C26" s="254"/>
      <c r="D26" s="254"/>
      <c r="E26" s="258" t="s">
        <v>322</v>
      </c>
      <c r="F26" s="259">
        <v>742802</v>
      </c>
    </row>
    <row r="31" spans="1:6" ht="63.75" customHeight="1">
      <c r="A31" s="382"/>
      <c r="B31" s="382"/>
      <c r="C31" s="382"/>
      <c r="D31" s="382"/>
      <c r="E31" s="382"/>
      <c r="F31" s="382"/>
    </row>
    <row r="32" spans="1:6" ht="63.75" customHeight="1">
      <c r="A32" s="383"/>
      <c r="B32" s="383"/>
      <c r="C32" s="383"/>
      <c r="D32" s="383"/>
      <c r="E32" s="383"/>
      <c r="F32" s="383"/>
    </row>
  </sheetData>
  <mergeCells count="9">
    <mergeCell ref="A1:F1"/>
    <mergeCell ref="A2:F2"/>
    <mergeCell ref="C21:E21"/>
    <mergeCell ref="A32:F32"/>
    <mergeCell ref="D22:E22"/>
    <mergeCell ref="D23:E23"/>
    <mergeCell ref="D24:E24"/>
    <mergeCell ref="D25:E25"/>
    <mergeCell ref="A31:F31"/>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8"/>
  <sheetViews>
    <sheetView workbookViewId="0">
      <selection activeCell="A4" sqref="A4:F4"/>
    </sheetView>
  </sheetViews>
  <sheetFormatPr defaultRowHeight="15"/>
  <cols>
    <col min="1" max="1" width="6.7109375" customWidth="1"/>
    <col min="2" max="2" width="41.7109375" customWidth="1"/>
    <col min="3" max="3" width="10" bestFit="1" customWidth="1"/>
    <col min="4" max="4" width="5.42578125" customWidth="1"/>
    <col min="5" max="5" width="11.42578125" bestFit="1" customWidth="1"/>
    <col min="6" max="6" width="25.140625" bestFit="1" customWidth="1"/>
  </cols>
  <sheetData>
    <row r="1" spans="1:6" ht="25.5" customHeight="1">
      <c r="A1" s="396"/>
      <c r="B1" s="397"/>
      <c r="C1" s="397"/>
      <c r="D1" s="397"/>
      <c r="E1" s="397"/>
      <c r="F1" s="398"/>
    </row>
    <row r="2" spans="1:6" ht="47.25" customHeight="1">
      <c r="A2" s="399" t="s">
        <v>0</v>
      </c>
      <c r="B2" s="400"/>
      <c r="C2" s="400"/>
      <c r="D2" s="400"/>
      <c r="E2" s="400"/>
      <c r="F2" s="401"/>
    </row>
    <row r="3" spans="1:6" ht="27.75" customHeight="1">
      <c r="A3" s="402" t="s">
        <v>323</v>
      </c>
      <c r="B3" s="403"/>
      <c r="C3" s="403"/>
      <c r="D3" s="403"/>
      <c r="E3" s="403"/>
      <c r="F3" s="404"/>
    </row>
    <row r="4" spans="1:6" s="329" customFormat="1" ht="27.75" customHeight="1">
      <c r="A4" s="408" t="s">
        <v>389</v>
      </c>
      <c r="B4" s="409"/>
      <c r="C4" s="409"/>
      <c r="D4" s="409"/>
      <c r="E4" s="409"/>
      <c r="F4" s="410"/>
    </row>
    <row r="5" spans="1:6" ht="32.25" customHeight="1">
      <c r="A5" s="162" t="s">
        <v>35</v>
      </c>
      <c r="B5" s="162" t="s">
        <v>36</v>
      </c>
      <c r="C5" s="162" t="s">
        <v>37</v>
      </c>
      <c r="D5" s="162" t="s">
        <v>5</v>
      </c>
      <c r="E5" s="162" t="s">
        <v>38</v>
      </c>
      <c r="F5" s="162" t="s">
        <v>39</v>
      </c>
    </row>
    <row r="6" spans="1:6" ht="141.75">
      <c r="A6" s="98" t="s">
        <v>324</v>
      </c>
      <c r="B6" s="260" t="s">
        <v>325</v>
      </c>
      <c r="C6" s="261">
        <v>13.03</v>
      </c>
      <c r="D6" s="261" t="s">
        <v>94</v>
      </c>
      <c r="E6" s="262">
        <v>151.82</v>
      </c>
      <c r="F6" s="263">
        <v>1978.21</v>
      </c>
    </row>
    <row r="7" spans="1:6" ht="114" customHeight="1">
      <c r="A7" s="98" t="s">
        <v>326</v>
      </c>
      <c r="B7" s="260" t="s">
        <v>327</v>
      </c>
      <c r="C7" s="264">
        <v>1.5</v>
      </c>
      <c r="D7" s="265" t="s">
        <v>94</v>
      </c>
      <c r="E7" s="266">
        <v>589.51</v>
      </c>
      <c r="F7" s="267">
        <v>884.27</v>
      </c>
    </row>
    <row r="8" spans="1:6" ht="110.25">
      <c r="A8" s="98" t="s">
        <v>328</v>
      </c>
      <c r="B8" s="260" t="s">
        <v>329</v>
      </c>
      <c r="C8" s="268">
        <v>2.46</v>
      </c>
      <c r="D8" s="266" t="s">
        <v>94</v>
      </c>
      <c r="E8" s="266">
        <v>1756.4</v>
      </c>
      <c r="F8" s="269">
        <v>4320.74</v>
      </c>
    </row>
    <row r="9" spans="1:6" ht="154.15" customHeight="1">
      <c r="A9" s="98" t="s">
        <v>330</v>
      </c>
      <c r="B9" s="260" t="s">
        <v>331</v>
      </c>
      <c r="C9" s="264">
        <v>7.5</v>
      </c>
      <c r="D9" s="265" t="s">
        <v>94</v>
      </c>
      <c r="E9" s="266">
        <v>6082.45</v>
      </c>
      <c r="F9" s="267">
        <v>45618.38</v>
      </c>
    </row>
    <row r="10" spans="1:6" ht="126">
      <c r="A10" s="98" t="s">
        <v>332</v>
      </c>
      <c r="B10" s="260" t="s">
        <v>333</v>
      </c>
      <c r="C10" s="264">
        <v>3</v>
      </c>
      <c r="D10" s="265" t="s">
        <v>94</v>
      </c>
      <c r="E10" s="266">
        <v>6308.87</v>
      </c>
      <c r="F10" s="269">
        <v>18926.61</v>
      </c>
    </row>
    <row r="11" spans="1:6" ht="141.75">
      <c r="A11" s="98">
        <v>6</v>
      </c>
      <c r="B11" s="260" t="s">
        <v>334</v>
      </c>
      <c r="C11" s="264"/>
      <c r="D11" s="265"/>
      <c r="E11" s="266"/>
      <c r="F11" s="269"/>
    </row>
    <row r="12" spans="1:6">
      <c r="A12" s="270" t="s">
        <v>335</v>
      </c>
      <c r="B12" s="271" t="s">
        <v>336</v>
      </c>
      <c r="C12" s="272">
        <v>0.371</v>
      </c>
      <c r="D12" s="273" t="s">
        <v>337</v>
      </c>
      <c r="E12" s="274">
        <v>83314.02</v>
      </c>
      <c r="F12" s="275">
        <f>ROUND((E12*C12),2)</f>
        <v>30909.5</v>
      </c>
    </row>
    <row r="13" spans="1:6" ht="20.25" customHeight="1">
      <c r="A13" s="270" t="s">
        <v>338</v>
      </c>
      <c r="B13" s="276" t="s">
        <v>339</v>
      </c>
      <c r="C13" s="272">
        <v>0.55700000000000005</v>
      </c>
      <c r="D13" s="273" t="s">
        <v>337</v>
      </c>
      <c r="E13" s="274">
        <v>82096.539999999994</v>
      </c>
      <c r="F13" s="275">
        <f>ROUND((E13*C13),2)</f>
        <v>45727.77</v>
      </c>
    </row>
    <row r="14" spans="1:6">
      <c r="A14" s="277"/>
      <c r="B14" s="278"/>
      <c r="C14" s="279"/>
      <c r="D14" s="273"/>
      <c r="E14" s="274"/>
      <c r="F14" s="275"/>
    </row>
    <row r="15" spans="1:6" ht="66.75" customHeight="1">
      <c r="A15" s="98" t="s">
        <v>340</v>
      </c>
      <c r="B15" s="260" t="s">
        <v>341</v>
      </c>
      <c r="C15" s="279">
        <v>49.26</v>
      </c>
      <c r="D15" s="273" t="s">
        <v>91</v>
      </c>
      <c r="E15" s="280">
        <v>194.5</v>
      </c>
      <c r="F15" s="275">
        <v>9581.07</v>
      </c>
    </row>
    <row r="16" spans="1:6">
      <c r="A16" s="281">
        <v>8</v>
      </c>
      <c r="B16" s="282" t="s">
        <v>144</v>
      </c>
      <c r="C16" s="283"/>
      <c r="D16" s="271"/>
      <c r="E16" s="271"/>
      <c r="F16" s="284"/>
    </row>
    <row r="17" spans="1:6" ht="18">
      <c r="A17" s="281" t="s">
        <v>13</v>
      </c>
      <c r="B17" s="285" t="s">
        <v>342</v>
      </c>
      <c r="C17" s="286">
        <f>[8]Sheet2!F9</f>
        <v>4.5199999999999996</v>
      </c>
      <c r="D17" s="287" t="s">
        <v>343</v>
      </c>
      <c r="E17" s="280">
        <v>848.82</v>
      </c>
      <c r="F17" s="288">
        <f>ROUND(C17*E17,2)</f>
        <v>3836.67</v>
      </c>
    </row>
    <row r="18" spans="1:6" ht="18">
      <c r="A18" s="281" t="s">
        <v>16</v>
      </c>
      <c r="B18" s="285" t="s">
        <v>344</v>
      </c>
      <c r="C18" s="286">
        <f>[8]Sheet2!E9</f>
        <v>1.5</v>
      </c>
      <c r="D18" s="287" t="s">
        <v>343</v>
      </c>
      <c r="E18" s="280">
        <v>313.14</v>
      </c>
      <c r="F18" s="288">
        <f>ROUND(C18*E18,2)</f>
        <v>469.71</v>
      </c>
    </row>
    <row r="19" spans="1:6" ht="18">
      <c r="A19" s="281" t="s">
        <v>18</v>
      </c>
      <c r="B19" s="285" t="s">
        <v>19</v>
      </c>
      <c r="C19" s="286">
        <f>[8]Sheet2!H9</f>
        <v>2.46</v>
      </c>
      <c r="D19" s="287" t="s">
        <v>343</v>
      </c>
      <c r="E19" s="274">
        <v>679.66</v>
      </c>
      <c r="F19" s="288">
        <f>ROUND(C19*E19,2)</f>
        <v>1671.96</v>
      </c>
    </row>
    <row r="20" spans="1:6" ht="18">
      <c r="A20" s="281" t="s">
        <v>20</v>
      </c>
      <c r="B20" s="285" t="s">
        <v>21</v>
      </c>
      <c r="C20" s="286">
        <f>[8]Sheet2!G9</f>
        <v>9.0300000000000011</v>
      </c>
      <c r="D20" s="287" t="s">
        <v>343</v>
      </c>
      <c r="E20" s="274">
        <v>447.06</v>
      </c>
      <c r="F20" s="288">
        <f>ROUND(C20*E20,2)</f>
        <v>4036.95</v>
      </c>
    </row>
    <row r="21" spans="1:6" ht="18">
      <c r="A21" s="281" t="s">
        <v>22</v>
      </c>
      <c r="B21" s="285" t="s">
        <v>23</v>
      </c>
      <c r="C21" s="286">
        <f>[8]Sheet2!I9</f>
        <v>13.03</v>
      </c>
      <c r="D21" s="287" t="s">
        <v>343</v>
      </c>
      <c r="E21" s="274">
        <v>117.54</v>
      </c>
      <c r="F21" s="288">
        <f>ROUND(C21*E21,2)</f>
        <v>1531.55</v>
      </c>
    </row>
    <row r="22" spans="1:6" ht="21.75" customHeight="1">
      <c r="A22" s="265"/>
      <c r="B22" s="265"/>
      <c r="C22" s="264"/>
      <c r="D22" s="265"/>
      <c r="E22" s="266" t="s">
        <v>24</v>
      </c>
      <c r="F22" s="289">
        <f>SUM(F6:F21)</f>
        <v>169493.38999999998</v>
      </c>
    </row>
    <row r="23" spans="1:6" ht="20.25" customHeight="1">
      <c r="A23" s="405" t="s">
        <v>25</v>
      </c>
      <c r="B23" s="406"/>
      <c r="C23" s="406"/>
      <c r="D23" s="406"/>
      <c r="E23" s="407"/>
      <c r="F23" s="290">
        <f>ROUND((F22*18%),2)</f>
        <v>30508.81</v>
      </c>
    </row>
    <row r="24" spans="1:6" ht="21" customHeight="1">
      <c r="A24" s="405" t="s">
        <v>24</v>
      </c>
      <c r="B24" s="406"/>
      <c r="C24" s="406"/>
      <c r="D24" s="406"/>
      <c r="E24" s="407"/>
      <c r="F24" s="290">
        <f>F22+F23</f>
        <v>200002.19999999998</v>
      </c>
    </row>
    <row r="25" spans="1:6" ht="21" customHeight="1">
      <c r="A25" s="405" t="s">
        <v>345</v>
      </c>
      <c r="B25" s="406"/>
      <c r="C25" s="406"/>
      <c r="D25" s="406"/>
      <c r="E25" s="407"/>
      <c r="F25" s="290">
        <f>ROUND((F24*1%),2)</f>
        <v>2000.02</v>
      </c>
    </row>
    <row r="26" spans="1:6" ht="19.5" customHeight="1">
      <c r="A26" s="393" t="s">
        <v>346</v>
      </c>
      <c r="B26" s="394"/>
      <c r="C26" s="394"/>
      <c r="D26" s="394"/>
      <c r="E26" s="395"/>
      <c r="F26" s="290">
        <f>F24+F25</f>
        <v>202002.21999999997</v>
      </c>
    </row>
    <row r="27" spans="1:6" ht="20.25" customHeight="1">
      <c r="A27" s="393" t="s">
        <v>347</v>
      </c>
      <c r="B27" s="394"/>
      <c r="C27" s="394"/>
      <c r="D27" s="394"/>
      <c r="E27" s="395"/>
      <c r="F27" s="291">
        <v>202002</v>
      </c>
    </row>
    <row r="28" spans="1:6">
      <c r="A28" s="159"/>
      <c r="B28" s="292"/>
      <c r="C28" s="159"/>
      <c r="D28" s="159"/>
      <c r="E28" s="159"/>
      <c r="F28" s="159"/>
    </row>
  </sheetData>
  <mergeCells count="9">
    <mergeCell ref="A26:E26"/>
    <mergeCell ref="A27:E27"/>
    <mergeCell ref="A1:F1"/>
    <mergeCell ref="A2:F2"/>
    <mergeCell ref="A3:F3"/>
    <mergeCell ref="A23:E23"/>
    <mergeCell ref="A24:E24"/>
    <mergeCell ref="A25:E25"/>
    <mergeCell ref="A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2023-01-04T06:47:14Z</dcterms:created>
  <dcterms:modified xsi:type="dcterms:W3CDTF">2023-01-05T14:46:02Z</dcterms:modified>
</cp:coreProperties>
</file>