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externalLinks/externalLink7.xml" ContentType="application/vnd.openxmlformats-officedocument.spreadsheetml.externalLink+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externalLinks/externalLink8.xml" ContentType="application/vnd.openxmlformats-officedocument.spreadsheetml.externalLink+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externalLinks/externalLink6.xml" ContentType="application/vnd.openxmlformats-officedocument.spreadsheetml.externalLink+xml"/>
  <Override PartName="/xl/externalLinks/externalLink17.xml" ContentType="application/vnd.openxmlformats-officedocument.spreadsheetml.externalLink+xml"/>
  <Default Extension="jpeg" ContentType="image/jpe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 name="Sheet28" sheetId="28" r:id="rId28"/>
    <sheet name="Sheet29" sheetId="29" r:id="rId29"/>
  </sheets>
  <externalReferences>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calcPr calcId="124519"/>
</workbook>
</file>

<file path=xl/calcChain.xml><?xml version="1.0" encoding="utf-8"?>
<calcChain xmlns="http://schemas.openxmlformats.org/spreadsheetml/2006/main">
  <c r="F5" i="14"/>
  <c r="F6"/>
  <c r="F7"/>
  <c r="F8"/>
  <c r="F9"/>
  <c r="F10"/>
  <c r="F11"/>
  <c r="F12"/>
  <c r="F13"/>
  <c r="F14"/>
  <c r="F15"/>
  <c r="F16"/>
  <c r="F17"/>
  <c r="F18"/>
  <c r="F4"/>
  <c r="F3"/>
  <c r="F19" l="1"/>
  <c r="F20" l="1"/>
  <c r="F21" s="1"/>
  <c r="F22" s="1"/>
  <c r="F23" l="1"/>
  <c r="F24" s="1"/>
  <c r="F6" i="13" l="1"/>
  <c r="F18" l="1"/>
  <c r="F17"/>
  <c r="F16"/>
  <c r="F15"/>
  <c r="F14"/>
  <c r="F12"/>
  <c r="F11"/>
  <c r="F10"/>
  <c r="F9"/>
  <c r="F8"/>
  <c r="F7"/>
  <c r="F5"/>
  <c r="F19" l="1"/>
  <c r="F20" s="1"/>
  <c r="F21" s="1"/>
  <c r="F22" s="1"/>
  <c r="F23" s="1"/>
  <c r="F18" i="15"/>
  <c r="F17"/>
  <c r="F16"/>
  <c r="F15"/>
  <c r="F14"/>
  <c r="F11"/>
  <c r="F10"/>
  <c r="F19" s="1"/>
  <c r="F20" l="1"/>
  <c r="F21"/>
  <c r="F22" l="1"/>
  <c r="F23" s="1"/>
  <c r="C19" i="16" l="1"/>
  <c r="F19" s="1"/>
  <c r="C18"/>
  <c r="F18" s="1"/>
  <c r="C17"/>
  <c r="F17" s="1"/>
  <c r="C16"/>
  <c r="F16" s="1"/>
  <c r="C15"/>
  <c r="F15" s="1"/>
  <c r="F12"/>
  <c r="F11"/>
  <c r="F3"/>
  <c r="F20" l="1"/>
  <c r="F22" l="1"/>
  <c r="F21"/>
  <c r="F24" l="1"/>
  <c r="F25" s="1"/>
  <c r="F23"/>
  <c r="F18" i="17" l="1"/>
  <c r="F17"/>
  <c r="F16"/>
  <c r="F15"/>
  <c r="F14"/>
  <c r="F12"/>
  <c r="F11"/>
  <c r="F10"/>
  <c r="F3"/>
  <c r="F19" s="1"/>
  <c r="E19" i="7"/>
  <c r="C19"/>
  <c r="F19" s="1"/>
  <c r="E18"/>
  <c r="C18"/>
  <c r="F18" s="1"/>
  <c r="E17"/>
  <c r="C17"/>
  <c r="F17" s="1"/>
  <c r="F16"/>
  <c r="C16"/>
  <c r="E15"/>
  <c r="C15"/>
  <c r="F15" s="1"/>
  <c r="F14"/>
  <c r="F13"/>
  <c r="F12"/>
  <c r="F11"/>
  <c r="F10"/>
  <c r="C9"/>
  <c r="F9" s="1"/>
  <c r="F8"/>
  <c r="F7"/>
  <c r="C7"/>
  <c r="F6"/>
  <c r="C6"/>
  <c r="F5"/>
  <c r="C5"/>
  <c r="E13" i="6"/>
  <c r="F13" s="1"/>
  <c r="E12"/>
  <c r="F12" s="1"/>
  <c r="F11"/>
  <c r="F10"/>
  <c r="E10"/>
  <c r="F9"/>
  <c r="F8"/>
  <c r="F7"/>
  <c r="F6"/>
  <c r="F5"/>
  <c r="F20" i="17" l="1"/>
  <c r="F21" s="1"/>
  <c r="F20" i="7"/>
  <c r="F14" i="6"/>
  <c r="F23" i="17" l="1"/>
  <c r="F24" s="1"/>
  <c r="F22"/>
  <c r="F21" i="7"/>
  <c r="F22"/>
  <c r="F15" i="6"/>
  <c r="F16" s="1"/>
  <c r="F23" i="7" l="1"/>
  <c r="F24"/>
  <c r="F17" i="6"/>
  <c r="F18" s="1"/>
  <c r="E15" i="5" l="1"/>
  <c r="F15" s="1"/>
  <c r="E14"/>
  <c r="F14" s="1"/>
  <c r="E13"/>
  <c r="F13" s="1"/>
  <c r="F12"/>
  <c r="F11"/>
  <c r="E11"/>
  <c r="F10"/>
  <c r="F9"/>
  <c r="F8"/>
  <c r="F7"/>
  <c r="F6"/>
  <c r="F5"/>
  <c r="F16" l="1"/>
  <c r="F17" l="1"/>
  <c r="F18" s="1"/>
  <c r="F19" l="1"/>
  <c r="F20" s="1"/>
  <c r="E18" i="4" l="1"/>
  <c r="F18" s="1"/>
  <c r="E17"/>
  <c r="F17" s="1"/>
  <c r="E16"/>
  <c r="F16" s="1"/>
  <c r="F15"/>
  <c r="E14"/>
  <c r="F14" s="1"/>
  <c r="F13"/>
  <c r="F12"/>
  <c r="F11"/>
  <c r="F10"/>
  <c r="F9"/>
  <c r="F8"/>
  <c r="F7"/>
  <c r="F6"/>
  <c r="F5"/>
  <c r="F19" l="1"/>
  <c r="F20" l="1"/>
  <c r="F21" s="1"/>
  <c r="F22" l="1"/>
  <c r="F23" s="1"/>
  <c r="F17" i="3" l="1"/>
  <c r="F16"/>
  <c r="F15"/>
  <c r="F14"/>
  <c r="F13"/>
  <c r="F11"/>
  <c r="F10"/>
  <c r="F9"/>
  <c r="F8"/>
  <c r="F7"/>
  <c r="F6"/>
  <c r="E5"/>
  <c r="F5" s="1"/>
  <c r="F4"/>
  <c r="F17" i="2"/>
  <c r="F16"/>
  <c r="F15"/>
  <c r="F14"/>
  <c r="F13"/>
  <c r="F11"/>
  <c r="F10"/>
  <c r="F9"/>
  <c r="F8"/>
  <c r="F7"/>
  <c r="F6"/>
  <c r="E5"/>
  <c r="F5" s="1"/>
  <c r="F4"/>
  <c r="F18" s="1"/>
  <c r="F17" i="1"/>
  <c r="F16"/>
  <c r="F15"/>
  <c r="F14"/>
  <c r="F13"/>
  <c r="F11"/>
  <c r="F10"/>
  <c r="F9"/>
  <c r="F8"/>
  <c r="F7"/>
  <c r="F6"/>
  <c r="F5"/>
  <c r="F18" s="1"/>
  <c r="F4"/>
  <c r="F18" i="3" l="1"/>
  <c r="F19" i="2"/>
  <c r="F20" s="1"/>
  <c r="F19" i="1"/>
  <c r="F20" s="1"/>
  <c r="F19" i="3" l="1"/>
  <c r="F20" s="1"/>
  <c r="F21" i="2"/>
  <c r="F22"/>
  <c r="F21" i="1"/>
  <c r="F22" s="1"/>
  <c r="F21" i="3" l="1"/>
  <c r="F22" s="1"/>
  <c r="F6" i="28"/>
  <c r="F7"/>
  <c r="F8"/>
  <c r="F9"/>
  <c r="F10"/>
  <c r="F11"/>
  <c r="F12"/>
  <c r="F13"/>
  <c r="F15"/>
  <c r="F16"/>
  <c r="F17"/>
  <c r="F18"/>
  <c r="F19"/>
  <c r="F5"/>
  <c r="F6" i="29"/>
  <c r="F8"/>
  <c r="F15"/>
  <c r="F14"/>
  <c r="F13"/>
  <c r="F12"/>
  <c r="F11"/>
  <c r="F9"/>
  <c r="F7"/>
  <c r="F5"/>
  <c r="F20" i="27"/>
  <c r="F19"/>
  <c r="F18"/>
  <c r="F17"/>
  <c r="F16"/>
  <c r="F15"/>
  <c r="F13"/>
  <c r="F12"/>
  <c r="F11"/>
  <c r="F10"/>
  <c r="F9"/>
  <c r="F8"/>
  <c r="F6"/>
  <c r="F18" i="26"/>
  <c r="F17"/>
  <c r="F16"/>
  <c r="F15"/>
  <c r="F14"/>
  <c r="F12"/>
  <c r="F11"/>
  <c r="F10"/>
  <c r="F9"/>
  <c r="F8"/>
  <c r="F7"/>
  <c r="F6"/>
  <c r="F5"/>
  <c r="F20" i="28" l="1"/>
  <c r="F21" s="1"/>
  <c r="F22" s="1"/>
  <c r="F23" s="1"/>
  <c r="F24" s="1"/>
  <c r="F16" i="29"/>
  <c r="F17" s="1"/>
  <c r="F18" s="1"/>
  <c r="F19" s="1"/>
  <c r="F20" s="1"/>
  <c r="F21" i="27"/>
  <c r="F22" s="1"/>
  <c r="F23" s="1"/>
  <c r="F24" s="1"/>
  <c r="F19" i="26"/>
  <c r="F20" s="1"/>
  <c r="F21" s="1"/>
  <c r="F22" s="1"/>
  <c r="F23" s="1"/>
  <c r="F20" i="25" l="1"/>
  <c r="F19"/>
  <c r="F18"/>
  <c r="F17"/>
  <c r="F16"/>
  <c r="F14"/>
  <c r="F13"/>
  <c r="F12"/>
  <c r="F11"/>
  <c r="F10"/>
  <c r="F9"/>
  <c r="F8"/>
  <c r="F7"/>
  <c r="F6"/>
  <c r="F5"/>
  <c r="F21" s="1"/>
  <c r="F22" l="1"/>
  <c r="F23" s="1"/>
  <c r="F24" l="1"/>
  <c r="F25" s="1"/>
  <c r="C14" i="24" l="1"/>
  <c r="F14" s="1"/>
  <c r="C13"/>
  <c r="F13" s="1"/>
  <c r="C12"/>
  <c r="F12" s="1"/>
  <c r="C11"/>
  <c r="F11" s="1"/>
  <c r="C9"/>
  <c r="F9" s="1"/>
  <c r="C8"/>
  <c r="F8" s="1"/>
  <c r="C7"/>
  <c r="F7" s="1"/>
  <c r="C6"/>
  <c r="F6" s="1"/>
  <c r="C5"/>
  <c r="F5" s="1"/>
  <c r="F15" s="1"/>
  <c r="F16" l="1"/>
  <c r="F17" s="1"/>
  <c r="F18" l="1"/>
  <c r="F19" s="1"/>
  <c r="C15" i="21" l="1"/>
  <c r="F15" s="1"/>
  <c r="C14"/>
  <c r="F14" s="1"/>
  <c r="C13"/>
  <c r="F13" s="1"/>
  <c r="C12"/>
  <c r="F12" s="1"/>
  <c r="C11"/>
  <c r="F11" s="1"/>
  <c r="C9"/>
  <c r="F9" s="1"/>
  <c r="C8"/>
  <c r="F8" s="1"/>
  <c r="C7"/>
  <c r="F7" s="1"/>
  <c r="C6"/>
  <c r="F6" s="1"/>
  <c r="C5"/>
  <c r="F5" s="1"/>
  <c r="F16" s="1"/>
  <c r="F17" l="1"/>
  <c r="F18" s="1"/>
  <c r="F19" l="1"/>
  <c r="F20" s="1"/>
  <c r="C19" i="22" l="1"/>
  <c r="F19" s="1"/>
  <c r="C18"/>
  <c r="F18" s="1"/>
  <c r="C17"/>
  <c r="F17" s="1"/>
  <c r="C16"/>
  <c r="F16" s="1"/>
  <c r="C14"/>
  <c r="F14" s="1"/>
  <c r="C13"/>
  <c r="F13" s="1"/>
  <c r="C12"/>
  <c r="F12" s="1"/>
  <c r="C11"/>
  <c r="F11" s="1"/>
  <c r="C10"/>
  <c r="F10" s="1"/>
  <c r="C9"/>
  <c r="F9" s="1"/>
  <c r="C8"/>
  <c r="F8" s="1"/>
  <c r="C7"/>
  <c r="F7" s="1"/>
  <c r="C6"/>
  <c r="F6" s="1"/>
  <c r="C5"/>
  <c r="F5" s="1"/>
  <c r="F20" s="1"/>
  <c r="F21" l="1"/>
  <c r="F22" s="1"/>
  <c r="F23" l="1"/>
  <c r="F24" s="1"/>
  <c r="C20" i="20" l="1"/>
  <c r="F20" s="1"/>
  <c r="C19"/>
  <c r="F19" s="1"/>
  <c r="C18"/>
  <c r="F18" s="1"/>
  <c r="C17"/>
  <c r="F17" s="1"/>
  <c r="C16"/>
  <c r="F16" s="1"/>
  <c r="C14"/>
  <c r="F14" s="1"/>
  <c r="C13"/>
  <c r="F13" s="1"/>
  <c r="C12"/>
  <c r="F12" s="1"/>
  <c r="C11"/>
  <c r="F11" s="1"/>
  <c r="C10"/>
  <c r="F10" s="1"/>
  <c r="C9"/>
  <c r="F9" s="1"/>
  <c r="C8"/>
  <c r="F8" s="1"/>
  <c r="C7"/>
  <c r="F7" s="1"/>
  <c r="C6"/>
  <c r="F6" s="1"/>
  <c r="C5"/>
  <c r="F5" s="1"/>
  <c r="F21" s="1"/>
  <c r="F22" l="1"/>
  <c r="F23" s="1"/>
  <c r="F24" l="1"/>
  <c r="F25" s="1"/>
  <c r="C16" i="23" l="1"/>
  <c r="F16" s="1"/>
  <c r="C15"/>
  <c r="F15" s="1"/>
  <c r="C14"/>
  <c r="F14" s="1"/>
  <c r="C13"/>
  <c r="F13" s="1"/>
  <c r="C12"/>
  <c r="F12" s="1"/>
  <c r="F11"/>
  <c r="C10"/>
  <c r="F10" s="1"/>
  <c r="C9"/>
  <c r="F9" s="1"/>
  <c r="C8"/>
  <c r="F8" s="1"/>
  <c r="C7"/>
  <c r="F7" s="1"/>
  <c r="C6"/>
  <c r="F6" s="1"/>
  <c r="C5"/>
  <c r="F5" s="1"/>
  <c r="F17" l="1"/>
  <c r="F18" l="1"/>
  <c r="F19" s="1"/>
  <c r="F20" l="1"/>
  <c r="F21" s="1"/>
  <c r="E20" i="11" l="1"/>
  <c r="F20" s="1"/>
  <c r="E19"/>
  <c r="F19" s="1"/>
  <c r="E18"/>
  <c r="F18" s="1"/>
  <c r="E17"/>
  <c r="F17" s="1"/>
  <c r="B17"/>
  <c r="E16"/>
  <c r="F16" s="1"/>
  <c r="E14"/>
  <c r="F14" s="1"/>
  <c r="D14"/>
  <c r="B14"/>
  <c r="A14"/>
  <c r="E13"/>
  <c r="F13" s="1"/>
  <c r="A13"/>
  <c r="E12"/>
  <c r="F12" s="1"/>
  <c r="D12"/>
  <c r="D13" s="1"/>
  <c r="A12"/>
  <c r="B11"/>
  <c r="A11"/>
  <c r="F10"/>
  <c r="E10"/>
  <c r="D10"/>
  <c r="B10"/>
  <c r="A10"/>
  <c r="E9"/>
  <c r="F9" s="1"/>
  <c r="B9"/>
  <c r="A9"/>
  <c r="E8"/>
  <c r="F8" s="1"/>
  <c r="B8"/>
  <c r="A8"/>
  <c r="E7"/>
  <c r="F7" s="1"/>
  <c r="B7"/>
  <c r="A7"/>
  <c r="E6"/>
  <c r="F6" s="1"/>
  <c r="D6"/>
  <c r="B6"/>
  <c r="A6"/>
  <c r="F5"/>
  <c r="E5"/>
  <c r="D5"/>
  <c r="B5"/>
  <c r="A5"/>
  <c r="F21" l="1"/>
  <c r="F22" s="1"/>
  <c r="F23" s="1"/>
  <c r="F24" s="1"/>
  <c r="F25" s="1"/>
  <c r="E19" i="12" l="1"/>
  <c r="C19"/>
  <c r="E18"/>
  <c r="C18"/>
  <c r="E17"/>
  <c r="C17"/>
  <c r="E16"/>
  <c r="C16"/>
  <c r="B16"/>
  <c r="E15"/>
  <c r="C15"/>
  <c r="F15" s="1"/>
  <c r="F13"/>
  <c r="E13"/>
  <c r="D13"/>
  <c r="C13"/>
  <c r="B13"/>
  <c r="A13"/>
  <c r="F12"/>
  <c r="E12"/>
  <c r="C12"/>
  <c r="B12"/>
  <c r="A12"/>
  <c r="F11"/>
  <c r="E11"/>
  <c r="D11"/>
  <c r="D12" s="1"/>
  <c r="C11"/>
  <c r="B11"/>
  <c r="A11"/>
  <c r="B10"/>
  <c r="A10"/>
  <c r="F9"/>
  <c r="E9"/>
  <c r="D9"/>
  <c r="C9"/>
  <c r="B9"/>
  <c r="A9"/>
  <c r="E8"/>
  <c r="C8"/>
  <c r="F8" s="1"/>
  <c r="B8"/>
  <c r="A8"/>
  <c r="E7"/>
  <c r="C7"/>
  <c r="B7"/>
  <c r="A7"/>
  <c r="E6"/>
  <c r="C6"/>
  <c r="B6"/>
  <c r="A6"/>
  <c r="E5"/>
  <c r="D5"/>
  <c r="C5"/>
  <c r="F5" s="1"/>
  <c r="B5"/>
  <c r="A5"/>
  <c r="A3"/>
  <c r="E14" i="10"/>
  <c r="C14"/>
  <c r="F14" s="1"/>
  <c r="B14"/>
  <c r="E13"/>
  <c r="C13"/>
  <c r="F13" s="1"/>
  <c r="B13"/>
  <c r="E12"/>
  <c r="C12"/>
  <c r="F12" s="1"/>
  <c r="B12"/>
  <c r="E11"/>
  <c r="C11"/>
  <c r="F11" s="1"/>
  <c r="B11"/>
  <c r="E9"/>
  <c r="D9"/>
  <c r="C9"/>
  <c r="F9" s="1"/>
  <c r="B9"/>
  <c r="A9"/>
  <c r="E8"/>
  <c r="C8"/>
  <c r="F8" s="1"/>
  <c r="B8"/>
  <c r="A8"/>
  <c r="E7"/>
  <c r="C7"/>
  <c r="F7" s="1"/>
  <c r="B7"/>
  <c r="A7"/>
  <c r="E6"/>
  <c r="C6"/>
  <c r="F6" s="1"/>
  <c r="B6"/>
  <c r="A6"/>
  <c r="E5"/>
  <c r="D5"/>
  <c r="C5"/>
  <c r="F5" s="1"/>
  <c r="B5"/>
  <c r="A5"/>
  <c r="A3"/>
  <c r="F6" i="12" l="1"/>
  <c r="F7"/>
  <c r="F16"/>
  <c r="F17"/>
  <c r="F18"/>
  <c r="F19"/>
  <c r="F20"/>
  <c r="F15" i="10"/>
  <c r="F21" i="12" l="1"/>
  <c r="F22" s="1"/>
  <c r="F16" i="10"/>
  <c r="F17" s="1"/>
  <c r="F23" i="12" l="1"/>
  <c r="F24" s="1"/>
  <c r="F25" s="1"/>
  <c r="F18" i="10"/>
  <c r="F19" s="1"/>
  <c r="F20" s="1"/>
  <c r="E21" i="9" l="1"/>
  <c r="D21"/>
  <c r="C21"/>
  <c r="F21" s="1"/>
  <c r="B21"/>
  <c r="E20"/>
  <c r="D20"/>
  <c r="C20"/>
  <c r="F20" s="1"/>
  <c r="B20"/>
  <c r="F19"/>
  <c r="E19"/>
  <c r="D19"/>
  <c r="C19"/>
  <c r="B19"/>
  <c r="E18"/>
  <c r="D18"/>
  <c r="C18"/>
  <c r="F18" s="1"/>
  <c r="B18"/>
  <c r="F17"/>
  <c r="E17"/>
  <c r="D17"/>
  <c r="C17"/>
  <c r="B17"/>
  <c r="E15"/>
  <c r="D15"/>
  <c r="C15"/>
  <c r="F15" s="1"/>
  <c r="B15"/>
  <c r="A15"/>
  <c r="E14"/>
  <c r="C14"/>
  <c r="F14" s="1"/>
  <c r="B14"/>
  <c r="A14"/>
  <c r="E13"/>
  <c r="D13"/>
  <c r="C13"/>
  <c r="F13" s="1"/>
  <c r="B13"/>
  <c r="A13"/>
  <c r="E12"/>
  <c r="C12"/>
  <c r="F12" s="1"/>
  <c r="B12"/>
  <c r="A12"/>
  <c r="F11"/>
  <c r="E11"/>
  <c r="D11"/>
  <c r="C11"/>
  <c r="B11"/>
  <c r="A11"/>
  <c r="F10"/>
  <c r="E10"/>
  <c r="D10"/>
  <c r="D12" s="1"/>
  <c r="D14" s="1"/>
  <c r="C10"/>
  <c r="B10"/>
  <c r="A10"/>
  <c r="E9"/>
  <c r="C9"/>
  <c r="F9" s="1"/>
  <c r="B9"/>
  <c r="A9"/>
  <c r="E8"/>
  <c r="C8"/>
  <c r="F8" s="1"/>
  <c r="B8"/>
  <c r="A8"/>
  <c r="E7"/>
  <c r="C7"/>
  <c r="F7" s="1"/>
  <c r="B7"/>
  <c r="A7"/>
  <c r="E6"/>
  <c r="C6"/>
  <c r="B6"/>
  <c r="A6"/>
  <c r="F5"/>
  <c r="E5"/>
  <c r="D5"/>
  <c r="C5"/>
  <c r="B5"/>
  <c r="A5"/>
  <c r="A3"/>
  <c r="F6" l="1"/>
  <c r="F22" s="1"/>
  <c r="F23" s="1"/>
  <c r="F24" s="1"/>
  <c r="F25" l="1"/>
  <c r="F26" s="1"/>
  <c r="E24" i="8" l="1"/>
  <c r="C24"/>
  <c r="F24" s="1"/>
  <c r="E23"/>
  <c r="C23"/>
  <c r="F23" s="1"/>
  <c r="E22"/>
  <c r="C22"/>
  <c r="F22" s="1"/>
  <c r="E21"/>
  <c r="C21"/>
  <c r="F21" s="1"/>
  <c r="B21"/>
  <c r="E20"/>
  <c r="C20"/>
  <c r="F20" s="1"/>
  <c r="E18"/>
  <c r="F18" s="1"/>
  <c r="D18"/>
  <c r="C18"/>
  <c r="B18"/>
  <c r="A18"/>
  <c r="F17"/>
  <c r="E17"/>
  <c r="D17"/>
  <c r="C17"/>
  <c r="B17"/>
  <c r="A17"/>
  <c r="F16"/>
  <c r="E16"/>
  <c r="C16"/>
  <c r="A16"/>
  <c r="E15"/>
  <c r="C15"/>
  <c r="F15" s="1"/>
  <c r="A15"/>
  <c r="E14"/>
  <c r="F14" s="1"/>
  <c r="C14"/>
  <c r="A14"/>
  <c r="E13"/>
  <c r="D13"/>
  <c r="D14" s="1"/>
  <c r="D15" s="1"/>
  <c r="D16" s="1"/>
  <c r="C13"/>
  <c r="F13" s="1"/>
  <c r="A13"/>
  <c r="B12"/>
  <c r="A12"/>
  <c r="F11"/>
  <c r="E11"/>
  <c r="C11"/>
  <c r="B11"/>
  <c r="A11"/>
  <c r="E10"/>
  <c r="F10" s="1"/>
  <c r="D10"/>
  <c r="D11" s="1"/>
  <c r="C10"/>
  <c r="B10"/>
  <c r="A10"/>
  <c r="E9"/>
  <c r="C9"/>
  <c r="B9"/>
  <c r="A9"/>
  <c r="E8"/>
  <c r="C8"/>
  <c r="B8"/>
  <c r="A8"/>
  <c r="E7"/>
  <c r="C7"/>
  <c r="B7"/>
  <c r="A7"/>
  <c r="E6"/>
  <c r="D6"/>
  <c r="C6"/>
  <c r="F6" s="1"/>
  <c r="B6"/>
  <c r="A6"/>
  <c r="E5"/>
  <c r="D5"/>
  <c r="C5"/>
  <c r="F5" s="1"/>
  <c r="B5"/>
  <c r="A5"/>
  <c r="A3"/>
  <c r="E19" i="18"/>
  <c r="C19"/>
  <c r="F19" s="1"/>
  <c r="B19"/>
  <c r="E18"/>
  <c r="C18"/>
  <c r="F18" s="1"/>
  <c r="B18"/>
  <c r="E17"/>
  <c r="C17"/>
  <c r="F17" s="1"/>
  <c r="B17"/>
  <c r="E16"/>
  <c r="C16"/>
  <c r="F16" s="1"/>
  <c r="B16"/>
  <c r="E15"/>
  <c r="C15"/>
  <c r="F15" s="1"/>
  <c r="B15"/>
  <c r="A14"/>
  <c r="E13"/>
  <c r="C13"/>
  <c r="F13" s="1"/>
  <c r="B13"/>
  <c r="A13"/>
  <c r="E12"/>
  <c r="D12"/>
  <c r="C12"/>
  <c r="F12" s="1"/>
  <c r="E11"/>
  <c r="D11"/>
  <c r="C11"/>
  <c r="F11" s="1"/>
  <c r="B11"/>
  <c r="A11"/>
  <c r="E10"/>
  <c r="C10"/>
  <c r="F10" s="1"/>
  <c r="B10"/>
  <c r="A10"/>
  <c r="E9"/>
  <c r="C9"/>
  <c r="F9" s="1"/>
  <c r="B9"/>
  <c r="A9"/>
  <c r="E8"/>
  <c r="C8"/>
  <c r="F8" s="1"/>
  <c r="A8"/>
  <c r="E7"/>
  <c r="C7"/>
  <c r="F7" s="1"/>
  <c r="A7"/>
  <c r="E6"/>
  <c r="C6"/>
  <c r="F6" s="1"/>
  <c r="A6"/>
  <c r="E5"/>
  <c r="C5"/>
  <c r="F5" s="1"/>
  <c r="B5"/>
  <c r="A5"/>
  <c r="A3"/>
  <c r="F9" i="8" l="1"/>
  <c r="F7"/>
  <c r="F8"/>
  <c r="F20" i="18"/>
  <c r="F25" i="8" l="1"/>
  <c r="F21" i="18"/>
  <c r="F22" s="1"/>
  <c r="F26" i="8" l="1"/>
  <c r="F27" s="1"/>
  <c r="F28" s="1"/>
  <c r="F23" i="18"/>
  <c r="F24" s="1"/>
  <c r="F29" i="8" l="1"/>
  <c r="F30" s="1"/>
  <c r="A3" i="19"/>
  <c r="A5"/>
  <c r="B5"/>
  <c r="C5"/>
  <c r="D5"/>
  <c r="E5"/>
  <c r="F5"/>
  <c r="A6"/>
  <c r="B6"/>
  <c r="C6"/>
  <c r="E6"/>
  <c r="F6" s="1"/>
  <c r="A7"/>
  <c r="B7"/>
  <c r="C7"/>
  <c r="E7"/>
  <c r="F7"/>
  <c r="A8"/>
  <c r="B8"/>
  <c r="A9"/>
  <c r="B9"/>
  <c r="C9"/>
  <c r="E9"/>
  <c r="F9" s="1"/>
  <c r="A10"/>
  <c r="B10"/>
  <c r="C10"/>
  <c r="E10"/>
  <c r="F10"/>
  <c r="F11" l="1"/>
  <c r="F13" l="1"/>
  <c r="F12"/>
  <c r="F15" l="1"/>
  <c r="F14"/>
</calcChain>
</file>

<file path=xl/sharedStrings.xml><?xml version="1.0" encoding="utf-8"?>
<sst xmlns="http://schemas.openxmlformats.org/spreadsheetml/2006/main" count="1284" uniqueCount="284">
  <si>
    <t>RANCHI MUNICIPAL CORPORATION, RANCHI</t>
  </si>
  <si>
    <t>Bill of Quantity</t>
  </si>
  <si>
    <t>S.No.</t>
  </si>
  <si>
    <t>Particulars or item of works</t>
  </si>
  <si>
    <t>Quantity</t>
  </si>
  <si>
    <t>Unit</t>
  </si>
  <si>
    <t xml:space="preserve">Rate          (in Rs.) </t>
  </si>
  <si>
    <t>Amount                     (in Rs.)</t>
  </si>
  <si>
    <t>M³</t>
  </si>
  <si>
    <t>M²</t>
  </si>
  <si>
    <t>Total</t>
  </si>
  <si>
    <t>Add 18% GST</t>
  </si>
  <si>
    <t>Add 1% Labour Cess</t>
  </si>
  <si>
    <t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</si>
  <si>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t>
  </si>
  <si>
    <t>Supplying and laying (properly as per design and drawing )rip-rap with good quality of boulders duly packed including the cost of materials,royalty all taxes etc.but excluding the cost of carriage, all complete as per specification and direction of E/I.</t>
  </si>
  <si>
    <t>CARRIAGE OF MATERIALS</t>
  </si>
  <si>
    <t>(i)</t>
  </si>
  <si>
    <t>(ii)</t>
  </si>
  <si>
    <t>(iii)</t>
  </si>
  <si>
    <t>(iv)</t>
  </si>
  <si>
    <t>(v)</t>
  </si>
  <si>
    <t xml:space="preserve">BILL OF QUANTITY </t>
  </si>
  <si>
    <t>Sl. No.</t>
  </si>
  <si>
    <t>Items of work</t>
  </si>
  <si>
    <t>Qnty.</t>
  </si>
  <si>
    <t>Rate</t>
  </si>
  <si>
    <t>Amount</t>
  </si>
  <si>
    <t>M3</t>
  </si>
  <si>
    <t>08mm Dia</t>
  </si>
  <si>
    <t>10mm Dia</t>
  </si>
  <si>
    <t>12mm Dia</t>
  </si>
  <si>
    <t>16mm Dia</t>
  </si>
  <si>
    <t>Carriage of materials</t>
  </si>
  <si>
    <t>Sand  (Lead Upto 49 km)</t>
  </si>
  <si>
    <t>Stone Boulder (Lead 36  KM)</t>
  </si>
  <si>
    <t>Stone Chips (Lead 22KM)</t>
  </si>
  <si>
    <t>Earth (Lead 01 KM)</t>
  </si>
  <si>
    <t>TOTAL</t>
  </si>
  <si>
    <t>Add 18%  GST</t>
  </si>
  <si>
    <t>Add 1 % L Cess</t>
  </si>
  <si>
    <t xml:space="preserve">1% L Cess </t>
  </si>
  <si>
    <t>Say</t>
  </si>
  <si>
    <t>M2</t>
  </si>
  <si>
    <t>Kg</t>
  </si>
  <si>
    <t>Name of Work :-Construction of RCC Drain at jora talab from house of Anwar Ali to house of Asgari khatun under ward no 09.</t>
  </si>
  <si>
    <t>GST (18%)</t>
  </si>
  <si>
    <t>L. CESS (1%)</t>
  </si>
  <si>
    <t>BILL OF QUANTITY</t>
  </si>
  <si>
    <r>
      <rPr>
        <b/>
        <sz val="13"/>
        <color theme="1"/>
        <rFont val="Century"/>
        <family val="1"/>
      </rPr>
      <t>Name of Work</t>
    </r>
    <r>
      <rPr>
        <sz val="13"/>
        <color theme="1"/>
        <rFont val="Century"/>
        <family val="1"/>
      </rPr>
      <t>:- Construction of PCC Road and guard wall at RamNagar Tongri Toli Near Harmu Hospital from Dr. Anup Rajak to Bindu Jee House Under Ward No.26</t>
    </r>
  </si>
  <si>
    <t>Sl.No.</t>
  </si>
  <si>
    <t>Items of Work</t>
  </si>
  <si>
    <t>Qnty</t>
  </si>
  <si>
    <r>
      <rPr>
        <b/>
        <sz val="10"/>
        <color theme="1"/>
        <rFont val="Century"/>
        <family val="1"/>
      </rPr>
      <t>1.</t>
    </r>
    <r>
      <rPr>
        <sz val="10"/>
        <color theme="1"/>
        <rFont val="Century"/>
        <family val="1"/>
      </rPr>
      <t xml:space="preserve">            5.1.1 + 5.1.2</t>
    </r>
  </si>
  <si>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</si>
  <si>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m3</t>
  </si>
  <si>
    <t>2.       Sl.No.4 M-004 P.No.36 BCD</t>
  </si>
  <si>
    <t>Stone Crusher Dust finer than 3 mm with not more than 10% Passing 0.075 sieve at quarry.        Baasic Rate  = 300.00                     add 15.95%(C.P+O.H.+W.C)=347.85</t>
  </si>
  <si>
    <t>3.      8.6.8</t>
  </si>
  <si>
    <t>Supplying and laying (properly as per design and drawing) rip-rap with good  quality of boulders duly packed including the cost of materials, royalty all taxes etc. but excluding the cost of carriage all complete as per specification and direction of E/I.</t>
  </si>
  <si>
    <t>4    5.2.34</t>
  </si>
  <si>
    <t xml:space="preserve">Providing  rough dressed course stone masonry in cement mortar (1:4) in foundation and plinth with hammer dressed stone of less than0 .03 M³ in volume and clean coarse sand of F.M. 2 to 2.5 including cost of screening ,raking out joints to 20mm depth,curing , taxes and royalty all complete , as per specification and direction of E/I.                                                                                                                                                                                                                                                                                                                                                                          </t>
  </si>
  <si>
    <t>5. 5.3.2.1</t>
  </si>
  <si>
    <t>Providing P.C.C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</si>
  <si>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6      4.01B(1ii)(Gradeing II)</t>
  </si>
  <si>
    <t xml:space="preserve">Construction of granular sub-base by providing close graded material,mixing in a mechaniclal mix plant at OMC,carriage of mix Material to work site, spreading in uniform layers with moter grader on prepared surface and compacting with vibratory power roller to achieve the desired density complete as per clause 401. </t>
  </si>
  <si>
    <t>Carriage of Materials</t>
  </si>
  <si>
    <t>Sand (Lead   47   KM)</t>
  </si>
  <si>
    <t>Stone Chips (Lead 20 KM)</t>
  </si>
  <si>
    <t>St.boulder (Lead 34 Km)</t>
  </si>
  <si>
    <t>Stone Dust (Lead 20 KM)</t>
  </si>
  <si>
    <t>G.Total=</t>
  </si>
  <si>
    <t>NAME OF WORK:-Construction of Boulder Masonory drain at Cahankya Vihar infront of Ashok Nagar Gate No 4 from Dutta Groassary to Rajeev Thakur House Under Ward no.26</t>
  </si>
  <si>
    <t>.</t>
  </si>
  <si>
    <t>I 5.10.2</t>
  </si>
  <si>
    <t>Dismentalling of Plain  Cement Concrete and………..Do…..E/I.</t>
  </si>
  <si>
    <t>2.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</si>
  <si>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</si>
  <si>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4.      8.6.8</t>
  </si>
  <si>
    <t>5.    5.3.1.2</t>
  </si>
  <si>
    <t>1:1.5:3 (1 Cement :2 Coarse Cement sand  (Zone III): 3Graded stone agregate 20 mm nominal Size)</t>
  </si>
  <si>
    <t>6                5.2.34</t>
  </si>
  <si>
    <t>Providing rough dressed course stone masonry in cement mortar (1:4) in foundation and plinth with hammer dressed stone ……………………………. all complete as per specification and direction of E/I</t>
  </si>
  <si>
    <t>7               5.7.11          +          5.7.12</t>
  </si>
  <si>
    <t>Providing 25mm thick cement plaster (1:4) with clean course sand F.M 1.5 includin screening curing with all leads and lifts of water, scaffoling taxes and royality all complete as per specification and direction of E/I with 1.5 mm cement punning</t>
  </si>
  <si>
    <t>m2</t>
  </si>
  <si>
    <t>8. 5.3.11</t>
  </si>
  <si>
    <t xml:space="preserve">Reinforced cement concrete work in walls(any thickness),including attached pilasters, buttresses,plinth and string courses,fillets columns,pillars,piers,abutments,posts and struts etc.above plinth level up to floor five level,excluding cost of centering,shuttering,finishing and reinforcement:    1:1.5:3(1 cement :1.5 coarse sand(zoneIII):3 graded stone aggregate                        </t>
  </si>
  <si>
    <t>9. 5.5.5 (b)</t>
  </si>
  <si>
    <t>Providing Tor steel reinforcement of 8 mm &amp; 10 mm dia rods as per approved design and drawing  ………..do………TMT Fe500(Only Valid for Tata(Tiscon),Sail,JSPL,Electrosteel Steels Ltd. Bokaro and Vizag(RINL))</t>
  </si>
  <si>
    <t>M.T.</t>
  </si>
  <si>
    <t>10  5.3.17.1</t>
  </si>
  <si>
    <t xml:space="preserve">Centering and Shuttering including struting,propping etc and removal of from for Foundation, footing s bases of Coloumns etc for mass Concrete                               </t>
  </si>
  <si>
    <t>Sand  (Lead Upto 47 km)</t>
  </si>
  <si>
    <r>
      <t>M</t>
    </r>
    <r>
      <rPr>
        <vertAlign val="superscript"/>
        <sz val="10"/>
        <rFont val="Century"/>
        <family val="1"/>
      </rPr>
      <t>3</t>
    </r>
  </si>
  <si>
    <t>Stone Boulder (Lead 34 KM)</t>
  </si>
  <si>
    <t>Add 18% GST (+) :</t>
  </si>
  <si>
    <t>Grand Total</t>
  </si>
  <si>
    <t>Add 1% Labour Cess (+) :</t>
  </si>
  <si>
    <r>
      <rPr>
        <b/>
        <sz val="10.5"/>
        <color theme="1"/>
        <rFont val="Century"/>
        <family val="1"/>
      </rPr>
      <t>Name of Work</t>
    </r>
    <r>
      <rPr>
        <sz val="10.5"/>
        <color theme="1"/>
        <rFont val="Century"/>
        <family val="1"/>
      </rPr>
      <t xml:space="preserve"> :--Repairing of Boundary wall with M.S. Grill at infront of Pratham Apartment Temple Under Ward No. 26.</t>
    </r>
  </si>
  <si>
    <t>1.            5.1.1 + 5.1.2</t>
  </si>
  <si>
    <t>Stone Crusher Dust finer than 3 mm with not more than 10% Passing 0.075 sieve at quarry.        Baasic Rate  = 300.00                     add 15.95%(C.P+O.H+W.C.)=347.85</t>
  </si>
  <si>
    <t>3      5.6.3</t>
  </si>
  <si>
    <t>Providing Designation 75 B one Brick Flat Soling Work………Do…E/I</t>
  </si>
  <si>
    <t>4 . 5.3.12</t>
  </si>
  <si>
    <t>Reinforced cement concrete work in beams, suspended floors, roofs having slope up to 15 landings, balconies, shelves, chajjas, lintels, band, plain window sills, staircases and spiral stair cases above plinth level up to floor five level, excluding the cost of centering, shuttering, finishing and reinforcement: with 1.1.5.3</t>
  </si>
  <si>
    <t>5   .5.5.12</t>
  </si>
  <si>
    <t>Supplying Fitting and fixing M.S.Grill made of 20X6 and M.S Flat or 16 mm Square Bar as Per approved design and drawing …..do.....all complete  as per …………..E/I.</t>
  </si>
  <si>
    <t>6    5.8.45</t>
  </si>
  <si>
    <t>Providing 2 coat of S E paint over steel surface all complete job</t>
  </si>
  <si>
    <t xml:space="preserve">7.      5.5.5 </t>
  </si>
  <si>
    <t>Providing Tor steel reinforcement of 8 mm &amp; 10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</si>
  <si>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 xml:space="preserve">8.       5.7.3 </t>
  </si>
  <si>
    <r>
      <t>Providing 12 mm thick water proof CEMENT PLASTER  (1:6)on</t>
    </r>
    <r>
      <rPr>
        <b/>
        <sz val="11"/>
        <rFont val="Arial"/>
        <family val="2"/>
      </rPr>
      <t xml:space="preserve"> outside wall</t>
    </r>
    <r>
      <rPr>
        <sz val="11"/>
        <rFont val="Arial"/>
        <family val="2"/>
      </rPr>
      <t xml:space="preserve"> with clean coarse sand of F.M.1.5 and 5% cico including cost of screening, curing making grooves with all leads and lifts of water, scaffolding, taxes and royalty all complete as per building specification and direction of E/I. (Cost of cico will be paid separately)                                                                                      </t>
    </r>
  </si>
  <si>
    <t>SQ.M.</t>
  </si>
  <si>
    <t>9   5.8.24</t>
  </si>
  <si>
    <t>Providing 2 coat of Snowcem of approved shade and make over a cement primer on new surface……..do…. all complete job</t>
  </si>
  <si>
    <t xml:space="preserve">(ii) </t>
  </si>
  <si>
    <t>Sand Lead 47 Km</t>
  </si>
  <si>
    <t xml:space="preserve">(iii) </t>
  </si>
  <si>
    <t>St. Dust Lead 20 Km</t>
  </si>
  <si>
    <t xml:space="preserve">(iv) </t>
  </si>
  <si>
    <t>St.Chips Lead 20 Km</t>
  </si>
  <si>
    <t>Add 18% Labour Cess (+)</t>
  </si>
  <si>
    <t>G. Total</t>
  </si>
  <si>
    <t>Add 1% Labour Cess (+)</t>
  </si>
  <si>
    <t>N.Total</t>
  </si>
  <si>
    <r>
      <rPr>
        <b/>
        <sz val="12"/>
        <color theme="1"/>
        <rFont val="Century"/>
        <family val="1"/>
      </rPr>
      <t>Name of Work</t>
    </r>
    <r>
      <rPr>
        <sz val="12"/>
        <color theme="1"/>
        <rFont val="Century"/>
        <family val="1"/>
      </rPr>
      <t>:- Construction of PCC Road in Old Argora Road in Kilkari Play School Lane  and Road behind Argora Thana from Jatru Jee House to Jaldhar Mandal jee House Under Ward No.26</t>
    </r>
  </si>
  <si>
    <t>4. 5.3.2.1</t>
  </si>
  <si>
    <t>5  5.3.17.1</t>
  </si>
  <si>
    <t xml:space="preserve">Centering and Shuttering including struting,propping etc and removal of from for      Foundation, footing s bases of Coloumns etc for mass Concrete                         </t>
  </si>
  <si>
    <t>Carriage of Material</t>
  </si>
  <si>
    <r>
      <rPr>
        <b/>
        <sz val="11"/>
        <color theme="1"/>
        <rFont val="Century"/>
        <family val="1"/>
      </rPr>
      <t>Name of Work</t>
    </r>
    <r>
      <rPr>
        <sz val="11"/>
        <color theme="1"/>
        <rFont val="Century"/>
        <family val="1"/>
      </rPr>
      <t xml:space="preserve"> :- Construction of P.C.C road  in Shiwaji Lane from By Pass Road to infront of Gupta Store Under Ward No.27</t>
    </r>
  </si>
  <si>
    <t xml:space="preserve">1.            5.1.1 </t>
  </si>
  <si>
    <t>3    4.23 (B)</t>
  </si>
  <si>
    <t>Providing and laying80 mm Thick factory made  Cement Concrete paver block of M-40 grade made by block making Machine with strong vibretory compaction of approve size,design  and shape ,laid in rerequired collour and pattern over bed as per revalent IRC Code ,filling the joints with fine sand etc all complete as per direction of Engineer -in -Charge.</t>
  </si>
  <si>
    <t>4. 5.3.1.1</t>
  </si>
  <si>
    <r>
      <t xml:space="preserve">Providing and Layng in Position cement concrete of specified grade excluding the cost of centring and shuttering……All work Upto plinth Level:                       </t>
    </r>
    <r>
      <rPr>
        <b/>
        <sz val="10"/>
        <color theme="1"/>
        <rFont val="Century"/>
        <family val="1"/>
      </rPr>
      <t>1:1.5:3 (1 Cement :1.5 Coarse Cement sand  (Zone III): 3 Graded stone agregate 20 mm nominal Size)</t>
    </r>
  </si>
  <si>
    <t xml:space="preserve">Centering and Shuttering including struting,propping etc and removal of from for  Foundation, footing s bases of Coloumns etc for mass Concrete                             </t>
  </si>
  <si>
    <t>Add 18% GST (+)</t>
  </si>
  <si>
    <t>NAME OF WORK:-Construction of drain atItki Road from Puri Glass to Sanjay Gupta House Ward No. 34.</t>
  </si>
  <si>
    <t>Description of Work</t>
  </si>
  <si>
    <t>I 5.10.3</t>
  </si>
  <si>
    <t>Dismentalling of Rienforced Cement Concrete and………..Do…..E/I.</t>
  </si>
  <si>
    <t>3.       Sl.No.4 M-004 P.No.36 BCD</t>
  </si>
  <si>
    <t>Sft</t>
  </si>
  <si>
    <t xml:space="preserve">Centering and Shuttering including struting,propping etc and removal of from for Foundation, footing s bases of Coloumns etc for mass Concrete                              </t>
  </si>
  <si>
    <t>Stone Dust (Lead 22 KM)</t>
  </si>
  <si>
    <t>Stone Boulder (Lead 36 KM)</t>
  </si>
  <si>
    <t>Stone Chips (Lead 22 KM)</t>
  </si>
  <si>
    <t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</si>
  <si>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t>2.        (J.B.C.D.-5.1.10)</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</si>
  <si>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t>
  </si>
  <si>
    <t>3.        (J.B.C.D.-8.6.8)</t>
  </si>
  <si>
    <t xml:space="preserve"> Supplying and laying (properly as per design and drawing )rip-rap with good quality of boulders duly packed including the cost of materials,royalty all taxes etc.but excluding the cost of carriage, all complete as per specification and direction of E/I.</t>
  </si>
  <si>
    <t xml:space="preserve">4       JSR
5.3.10 </t>
  </si>
  <si>
    <t>Reinforced cement concrete work in walls(any thickness), including attached pilasters, buttresses, plinth and string courses, fillets, columns, pillars, piers, abutments, posts and struts etc. above plinth level up to floor five level, excluding cost of centering, shuttering, finishing and reinforcement: 1:1.5:3(1 cement : 1-5 coarse sand (Zone-III) : 3 graded stone aggregate 20 mmnominaol size)</t>
  </si>
  <si>
    <t>5  JSR  5.3.11</t>
  </si>
  <si>
    <t xml:space="preserve">6  5.5.5   </t>
  </si>
  <si>
    <t>Providing Tor steel reinforcement of 8mm, 10mmbars as per approved design and drawing excluding carriage of Rods (straight or in coils) to work site, cutting, bending and binding with annealed wire with cost of wire, removal of rust, placing the rods in position all complete as per building specification and direction of E/I.
8 mm dia 30%</t>
  </si>
  <si>
    <t>MT</t>
  </si>
  <si>
    <t>10 mm dia 70%</t>
  </si>
  <si>
    <t>7              5.3.17.1</t>
  </si>
  <si>
    <t>Centering and shuttering including strutting, propping etc. and removal of form for Foundation, footing, bases of columns, etc for mass concrete</t>
  </si>
  <si>
    <t>SAND-LEAD-42KM</t>
  </si>
  <si>
    <t>SAND LOCAL-LEAD-18KM</t>
  </si>
  <si>
    <t>CHIPS-LEAD-15KM</t>
  </si>
  <si>
    <t>BOULDER-LEAD-29KM</t>
  </si>
  <si>
    <t>EARTH-LEAD-1km</t>
  </si>
  <si>
    <t xml:space="preserve">SAY RS. </t>
  </si>
  <si>
    <t>1
5.1.1</t>
  </si>
  <si>
    <t>Name of Work :- Construction of  RCC Drain at Bawanipur maidan near house of manager pradhan kutty shop to culvert under ward no.- 45 of R.M.C, Ranchi.</t>
  </si>
  <si>
    <t>Dismantling Plain cement concrete…….. E/I.</t>
  </si>
  <si>
    <t>2
5.1.1</t>
  </si>
  <si>
    <t>3.        (J.B.C.D.-5.1.10)</t>
  </si>
  <si>
    <t>4.        (J.B.C.D.-8.6.8)</t>
  </si>
  <si>
    <t xml:space="preserve">5
JSR
5.3.10 </t>
  </si>
  <si>
    <t>6
JSR  5.3.11</t>
  </si>
  <si>
    <t xml:space="preserve">7
5.5.5   </t>
  </si>
  <si>
    <t>8              5.3.17.1</t>
  </si>
  <si>
    <t>Name of Work :- Construction of  RCC Drain from dwarikapuri road no-07 to dwarikapuri road no-03 under ward no.- 46 of R.M.C, Ranchi.</t>
  </si>
  <si>
    <t>4.
 5.3.2.1</t>
  </si>
  <si>
    <t>5              5.3.17.1</t>
  </si>
  <si>
    <t>ii</t>
  </si>
  <si>
    <t>i</t>
  </si>
  <si>
    <t>iii</t>
  </si>
  <si>
    <t>iv</t>
  </si>
  <si>
    <t>v</t>
  </si>
  <si>
    <t>Name of Work :- Construction of  PCC road at dwarikapuri road no-08 from river side main road to house of mishra ji rest part under ward no.- 46 of R.M.C, Ranchi.</t>
  </si>
  <si>
    <t>Name of Work :- Construction of  RCC Drain at krishnapuri road no- 5A from house of jumuwar to main road under ward no.- 46 of R.M.C, Ranchi.</t>
  </si>
  <si>
    <t>RANCHI  MUNICIPAL  CORPORATION,  RANCHI</t>
  </si>
  <si>
    <t>NAME OF WORK:- CONSTRUCTION OF RCC DRAIN AT SARODAY NAGAR A. K. SINGH HOUSE TO ARBIND ORAON CLINIC UNDER WARD-01 OF RMC, RANCHI</t>
  </si>
  <si>
    <t>1                 5.1.1</t>
  </si>
  <si>
    <t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t>
  </si>
  <si>
    <t>2               5.1.10</t>
  </si>
  <si>
    <t>3.         5.6.8</t>
  </si>
  <si>
    <t>4          B.C.D. 5.3.10</t>
  </si>
  <si>
    <t>Reinforced cement concrete work in walls of specified grade excluding the cost of centering and shuttering - All work up to plinth level 1:1.5:3 ( 1 cement: 1.5 course sand (zone- III): 3 graded stone agreegate 20mm nominal size)</t>
  </si>
  <si>
    <t>5.         B.C.D. 5.3.11</t>
  </si>
  <si>
    <t>Reinforced cement concrete work in beam roofs of specified grade excluding the cost of centering and shuttering - All work up to plinth level 1:1.5:3 ( 1 cement: 1.5 course sand (zone- III): 3 graded stone agreegate 20mm nominal size)</t>
  </si>
  <si>
    <t>Providing  Tor steel reinforcement of 8mm, 10mm, 12mm, and 16mm dia rods bars as per approved design and drawing with cutting,bending and binding with annealed wire with cost of wire,removal of rust,placing the rods in position (excluding carriage of bars to work site), all complete as per building specification and direction of E/I. TMT Fe 500 (only valid for SAIL and TATA steel,JSPL,Electro steel Ltd Bokaro and Vizag (RINL)                                                        8MM</t>
  </si>
  <si>
    <t>10mm</t>
  </si>
  <si>
    <t>7            5.3.17.1</t>
  </si>
  <si>
    <t>Centering and shuttering including strutting, propping etc. and removal of from for Foundations,footings, bases of columns, etc. for mass concrete.</t>
  </si>
  <si>
    <t>Carraige of material</t>
  </si>
  <si>
    <t>SAND-LEAD-49KM</t>
  </si>
  <si>
    <t>LOCAL SAND-LEAD-13KM</t>
  </si>
  <si>
    <t>STONE CHIPS-LEAD-22KM</t>
  </si>
  <si>
    <t>BOULDER-LEAD-36KM</t>
  </si>
  <si>
    <t>EARTH-LEAD-1KM</t>
  </si>
  <si>
    <t xml:space="preserve">GST18% </t>
  </si>
  <si>
    <t>L CESS 1%</t>
  </si>
  <si>
    <t>NAME OF WORK:- CONSTRUCTION OF RCC DRAIN AT HATMA SARNA TOLI MAIN ROAD TO EXISTING DRAIN UNDER WARD NO- 2 OF RMC, RANCHI</t>
  </si>
  <si>
    <t>02.
4/M004</t>
  </si>
  <si>
    <t>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t>
  </si>
  <si>
    <t>4           5.3.10</t>
  </si>
  <si>
    <t>`````````````````````````````````````</t>
  </si>
  <si>
    <t>5.          5.3.11</t>
  </si>
  <si>
    <t>NAME OF WORK:- CONSTRUCTION OF RCC DRAIN AT  UDAY NAGAR CCL COLONY BACK SIDE OF JR. DAV  UNDER WARD NO- 2 OF RMC, RANCHI</t>
  </si>
  <si>
    <t>NAME OF WORK:- CONSTRUCTION OF RCC DRAIN AT PUCHKA MUHALLA ADALHATU RAMAN SINGH HOUSE TO ONWARDS TRANSFERMAR UNDER WARD NO- 3 OF RMC, RANCHI</t>
  </si>
  <si>
    <t>SL</t>
  </si>
  <si>
    <t xml:space="preserve"> Item of works</t>
  </si>
  <si>
    <t xml:space="preserve">Rate          </t>
  </si>
  <si>
    <t xml:space="preserve">Amount                     </t>
  </si>
  <si>
    <t>1                  5.1.1</t>
  </si>
  <si>
    <t>4                                  5.3.10</t>
  </si>
  <si>
    <t xml:space="preserve">Reinforced cement concrete work in walls (any thickness),including  attached pilasters, buttresses, plinth and string courses, fillets, columns,pillars, piers, abutments, posts and struts etc.above plinth level upto to five level, excluding the cost of centering, shuttering, finishing and reinforcement  with 1:1½:3 (1 cemet : 1½ coarse sand (zone-iii) : 3 graded stone aggregate 20mm nominal size ) </t>
  </si>
  <si>
    <t>5                  5.3.11</t>
  </si>
  <si>
    <t xml:space="preserve">Reinforced cement concrete work in beam, suspended floors, roofs having slope up to 15° landing, 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t>
  </si>
  <si>
    <t>Providing  Tor steel reinforcement of 8mm, 10mm, 12mm, and 16mm dia rods bars as per approved design and drawing with cutting,bending and binding with annealed wire with cost of wire,removal of rust,placing the rods in position (excluding carriage of bars to work site), all complete as per building specification and direction of E/I. TMT Fe 500 (only valid for SAIL and TATA steel,JSPL,Electro steel Ltd Bokaro and Vizag (RINL) 8mm</t>
  </si>
  <si>
    <t>7                5.3.17.1</t>
  </si>
  <si>
    <t>STONE DUST-LEAD-22KM</t>
  </si>
  <si>
    <t>NAME OF WORK:- CONSTRUCTION OF PCC ROAD AT PATNA KHATAL MORABADI HOUSE OF BIRENDRA KUMAR TO ONWARDS NAND KISHOR RAY UNDER WARD-04 OF RMC, RANCHI</t>
  </si>
  <si>
    <t>4         5.3.1.1</t>
  </si>
  <si>
    <t>Providing and laying in position cement concrete of specified grade excluding the cost of centering and shuttering - All work up to plinth level 1:1.5:3 ( 1 cement: 1.5 course sand (zone- III): 3 graded stone agreegate 20mm nominal size)</t>
  </si>
  <si>
    <t>5             5.3.17.1</t>
  </si>
  <si>
    <r>
      <rPr>
        <b/>
        <sz val="11"/>
        <color theme="1"/>
        <rFont val="Century"/>
        <family val="1"/>
      </rPr>
      <t>Name of Work</t>
    </r>
    <r>
      <rPr>
        <sz val="11"/>
        <color theme="1"/>
        <rFont val="Century"/>
        <family val="1"/>
      </rPr>
      <t xml:space="preserve"> :-CONSTRUCTION OF ROAD PAVER BLOCK AT BARGAIN DIFFERENT ROADS  UNDER WARD NO. 04 OF RMC RANCHI</t>
    </r>
  </si>
  <si>
    <t>3. J.B.C.D.
4.23B</t>
  </si>
  <si>
    <t>Providing and laying 80MM factory made concrete interloking paver block of M-40 grade made by block  making……………do…….E/I.</t>
  </si>
  <si>
    <t>NAME OF WORK:- CONSTRUCTION OF PCC ROAD AND RCC DRAIN AT KUSUM VIHAR ROAD NO 7/E HOUSE OF RUPKUMAR TO ONWARDS BIG DRAIN UNDER WARD-04 OF RMC, RANCHI</t>
  </si>
  <si>
    <t>6                                  5.3.10</t>
  </si>
  <si>
    <t>7                 5.3.11</t>
  </si>
  <si>
    <t>mt</t>
  </si>
  <si>
    <t xml:space="preserve">8         </t>
  </si>
  <si>
    <t>Providing  Tor steel reinforcement of 8mm, 10mm, 12mm, and 16mm dia rods bars as per approved design and drawing with cutting,bending and binding with annealed wire with cost of wire,removal of rust,placing the rods in position (excluding carriage of bars to work site), all complete as per building specification and direction of E/I. TMT Fe 500 (only valid for SAIL and TATA steel,JSPL,Electro steel Ltd Bokaro and Vizag (RINL) 8MM</t>
  </si>
  <si>
    <t>10MM</t>
  </si>
  <si>
    <r>
      <t xml:space="preserve">RANCHI MUNICIPAL CORPORATION
</t>
    </r>
    <r>
      <rPr>
        <b/>
        <sz val="12"/>
        <color theme="1"/>
        <rFont val="Cambria"/>
        <family val="1"/>
        <scheme val="major"/>
      </rPr>
      <t>DETAIL ESTIMATE FOR CONSTRUCTION OF R.C.C drain  at RAJAT RAI COMPOUND EAST JAIL ROAD UNDER  WARD  NO. 18</t>
    </r>
  </si>
  <si>
    <t>Sl No.</t>
  </si>
  <si>
    <t>PARTICULARS OR ITEM OF WORKS</t>
  </si>
  <si>
    <t>QTY</t>
  </si>
  <si>
    <t>UNIT</t>
  </si>
  <si>
    <t xml:space="preserve">RATE          (in Rs.) </t>
  </si>
  <si>
    <t>AMOUNT 
(in Rs.)</t>
  </si>
  <si>
    <t>Providing Mandays for site clearence, unskilled labour</t>
  </si>
  <si>
    <t>No.</t>
  </si>
  <si>
    <t xml:space="preserve">2.
5.1.1.                     </t>
  </si>
  <si>
    <t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t>
  </si>
  <si>
    <t>3.        5.1.10</t>
  </si>
  <si>
    <t>4.           5.6.8</t>
  </si>
  <si>
    <t>6.                                    5.3.10</t>
  </si>
  <si>
    <t>6                  5.3.11</t>
  </si>
  <si>
    <t xml:space="preserve">Reinforced cement concrete work in beam, suspended floors, roofs having slope up to 15° landing,balconies,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t>
  </si>
  <si>
    <t>7                      5.5.5</t>
  </si>
  <si>
    <t>Providing Tor steel reinforcement of  10mm and 12mm dia rods  as per approved …...........do…..........TMT Fe 500(Only valid for Tata (Tiscon),SAIL,JSPL,Electrosteel Steels Ltd, Bokaro and Vizag(RINL)</t>
  </si>
  <si>
    <t xml:space="preserve"> 5.5.5 (b) 10mm dia bar 60%</t>
  </si>
  <si>
    <t xml:space="preserve">  5.5.4 (a) 8 mm dia bar 40%</t>
  </si>
  <si>
    <t>9                 5.3.17.1</t>
  </si>
  <si>
    <t>(i) SAND-LEAD-49km</t>
  </si>
  <si>
    <t>(ii) SAND LOCAL-LEAD-13 KM</t>
  </si>
  <si>
    <t>(iii) CHIPS-LEAD-22 km</t>
  </si>
  <si>
    <t>(iv) BOULDER-LEAD-36 km</t>
  </si>
  <si>
    <t>(v) EARTH-LEAD-1km</t>
  </si>
  <si>
    <t>18% GST</t>
  </si>
  <si>
    <t>1% Labour Cess</t>
  </si>
  <si>
    <t>SAY</t>
  </si>
  <si>
    <r>
      <t xml:space="preserve">BILL OF QUANTITY
</t>
    </r>
    <r>
      <rPr>
        <b/>
        <sz val="12"/>
        <color theme="1"/>
        <rFont val="Cambria"/>
        <family val="1"/>
        <scheme val="major"/>
      </rPr>
      <t xml:space="preserve"> CONSTRUCTION OF R.C.C drain at chaina gali md moein house to md mahmood  house  UNDER  WARD NO. 17</t>
    </r>
  </si>
  <si>
    <t>5.
 5.3.1.1</t>
  </si>
  <si>
    <t>Providing and laying in position cement concrete of specified grade excluding the cost of excluding cost of centring,shuttring-All work up to plinth level;1:1.5:3(1cement:1.5 coarse sand(zone-lll):3 grade stone agreegate 20mm nominal size)..........do…..all complete as per specification and direction of E/I.</t>
  </si>
  <si>
    <r>
      <t xml:space="preserve">RANCHI MUNICIPAL CORPORATION
</t>
    </r>
    <r>
      <rPr>
        <b/>
        <sz val="12"/>
        <color theme="1"/>
        <rFont val="Cambria"/>
        <family val="1"/>
        <scheme val="major"/>
      </rPr>
      <t>DETAIL ESTIMATE FOR CONSTRUCTION OF R.C.C drain  at dora bakery from arshad bhai house to istiyak bhai house UNDER  WARD  NO. 17</t>
    </r>
  </si>
  <si>
    <t>1
5.1.1+
5.1.2</t>
  </si>
  <si>
    <t xml:space="preserve">2
4/M004 </t>
  </si>
  <si>
    <t>SAND LOCAL-LEAD-15KM</t>
  </si>
  <si>
    <t>Name of Work :- Construction of  RCC Drain eith cover slab from house of nasir kureshi to house of liyakat ansari and house of atal sarifa to munna genral store at munna chowk under ward no.- 12 of R.M.C, Ranchi.</t>
  </si>
  <si>
    <r>
      <t>RANCHI MUNICIPAL CORPORATION
c</t>
    </r>
    <r>
      <rPr>
        <b/>
        <sz val="12"/>
        <color theme="1"/>
        <rFont val="Cambria"/>
        <family val="1"/>
        <scheme val="major"/>
      </rPr>
      <t>ONSTRUCTION OF R.C.C drain  at SURFU HOTEL TO SHEELA TIGGA house UNDER  WARD  NO. 15</t>
    </r>
  </si>
</sst>
</file>

<file path=xl/styles.xml><?xml version="1.0" encoding="utf-8"?>
<styleSheet xmlns="http://schemas.openxmlformats.org/spreadsheetml/2006/main">
  <numFmts count="4">
    <numFmt numFmtId="43" formatCode="_(* #,##0.00_);_(* \(#,##0.00\);_(* &quot;-&quot;??_);_(@_)"/>
    <numFmt numFmtId="164" formatCode="&quot;₹&quot;\ #,##0.00"/>
    <numFmt numFmtId="165" formatCode="0.000"/>
    <numFmt numFmtId="166" formatCode="0.0"/>
  </numFmts>
  <fonts count="73">
    <font>
      <sz val="11"/>
      <color theme="1"/>
      <name val="Calibri"/>
      <family val="2"/>
      <scheme val="minor"/>
    </font>
    <font>
      <b/>
      <sz val="11"/>
      <color theme="1"/>
      <name val="Calibri"/>
      <family val="2"/>
      <scheme val="minor"/>
    </font>
    <font>
      <b/>
      <sz val="16"/>
      <color theme="1"/>
      <name val="Arial"/>
      <family val="2"/>
    </font>
    <font>
      <b/>
      <sz val="12"/>
      <color theme="1"/>
      <name val="Arial"/>
      <family val="2"/>
    </font>
    <font>
      <u/>
      <sz val="11"/>
      <color theme="1"/>
      <name val="Arial"/>
      <family val="2"/>
    </font>
    <font>
      <sz val="12"/>
      <color theme="1"/>
      <name val="Arial"/>
      <family val="2"/>
    </font>
    <font>
      <sz val="12"/>
      <name val="Arial"/>
      <family val="2"/>
    </font>
    <font>
      <b/>
      <sz val="11"/>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sz val="11"/>
      <color theme="1"/>
      <name val="Arial"/>
      <family val="2"/>
    </font>
    <font>
      <sz val="11"/>
      <name val="Arial"/>
      <family val="2"/>
    </font>
    <font>
      <b/>
      <sz val="16"/>
      <color theme="1"/>
      <name val="Calibri"/>
      <family val="2"/>
      <scheme val="minor"/>
    </font>
    <font>
      <b/>
      <sz val="11"/>
      <color theme="1"/>
      <name val="Century"/>
      <family val="1"/>
    </font>
    <font>
      <b/>
      <sz val="10"/>
      <color theme="1"/>
      <name val="Century"/>
      <family val="1"/>
    </font>
    <font>
      <sz val="26"/>
      <color theme="1"/>
      <name val="Century"/>
      <family val="1"/>
    </font>
    <font>
      <sz val="9"/>
      <color theme="1"/>
      <name val="Calibri"/>
      <family val="2"/>
      <scheme val="minor"/>
    </font>
    <font>
      <sz val="18"/>
      <color theme="1"/>
      <name val="Century"/>
      <family val="1"/>
    </font>
    <font>
      <sz val="13"/>
      <color theme="1"/>
      <name val="Century"/>
      <family val="1"/>
    </font>
    <font>
      <b/>
      <sz val="13"/>
      <color theme="1"/>
      <name val="Century"/>
      <family val="1"/>
    </font>
    <font>
      <sz val="10"/>
      <color theme="1"/>
      <name val="Century"/>
      <family val="1"/>
    </font>
    <font>
      <b/>
      <sz val="9"/>
      <color theme="1"/>
      <name val="Century"/>
      <family val="1"/>
    </font>
    <font>
      <sz val="10.5"/>
      <color theme="1"/>
      <name val="Century"/>
      <family val="1"/>
    </font>
    <font>
      <b/>
      <sz val="10"/>
      <name val="Century"/>
      <family val="1"/>
    </font>
    <font>
      <b/>
      <sz val="14"/>
      <color theme="1"/>
      <name val="Century"/>
      <family val="1"/>
    </font>
    <font>
      <sz val="10"/>
      <color theme="1"/>
      <name val="Calibri"/>
      <family val="2"/>
      <scheme val="minor"/>
    </font>
    <font>
      <b/>
      <sz val="9"/>
      <color theme="1"/>
      <name val="Calibri"/>
      <family val="2"/>
      <scheme val="minor"/>
    </font>
    <font>
      <sz val="16"/>
      <color theme="1"/>
      <name val="Calibri"/>
      <family val="2"/>
      <scheme val="minor"/>
    </font>
    <font>
      <sz val="8"/>
      <color theme="1"/>
      <name val="Century"/>
      <family val="1"/>
    </font>
    <font>
      <sz val="11"/>
      <color theme="1"/>
      <name val="Century"/>
      <family val="1"/>
    </font>
    <font>
      <sz val="9"/>
      <color theme="1"/>
      <name val="Century"/>
      <family val="1"/>
    </font>
    <font>
      <sz val="8"/>
      <name val="Century"/>
      <family val="1"/>
    </font>
    <font>
      <sz val="10"/>
      <name val="Century"/>
      <family val="1"/>
    </font>
    <font>
      <vertAlign val="superscript"/>
      <sz val="10"/>
      <name val="Century"/>
      <family val="1"/>
    </font>
    <font>
      <b/>
      <sz val="8"/>
      <color theme="1"/>
      <name val="Century"/>
      <family val="1"/>
    </font>
    <font>
      <b/>
      <sz val="10.5"/>
      <color theme="1"/>
      <name val="Century"/>
      <family val="1"/>
    </font>
    <font>
      <b/>
      <sz val="11"/>
      <color rgb="FF231F20"/>
      <name val="Helvetica-Bold"/>
    </font>
    <font>
      <sz val="10"/>
      <color theme="1"/>
      <name val="Arial"/>
      <family val="2"/>
    </font>
    <font>
      <b/>
      <sz val="10"/>
      <color theme="1"/>
      <name val="Arial"/>
      <family val="2"/>
    </font>
    <font>
      <sz val="12"/>
      <color theme="1"/>
      <name val="Calibri"/>
      <family val="2"/>
    </font>
    <font>
      <b/>
      <sz val="12"/>
      <color theme="1"/>
      <name val="Calibri"/>
      <family val="2"/>
    </font>
    <font>
      <b/>
      <sz val="10"/>
      <name val="Arial"/>
      <family val="2"/>
    </font>
    <font>
      <b/>
      <sz val="11"/>
      <name val="Arial"/>
      <family val="2"/>
    </font>
    <font>
      <sz val="10"/>
      <name val="Arial"/>
      <family val="2"/>
    </font>
    <font>
      <b/>
      <sz val="12"/>
      <color theme="1"/>
      <name val="Century"/>
      <family val="1"/>
    </font>
    <font>
      <sz val="20"/>
      <color theme="1"/>
      <name val="Calibri"/>
      <family val="2"/>
      <scheme val="minor"/>
    </font>
    <font>
      <sz val="12"/>
      <color theme="1"/>
      <name val="Century"/>
      <family val="1"/>
    </font>
    <font>
      <sz val="11"/>
      <color theme="1"/>
      <name val="Calibri"/>
      <family val="2"/>
      <scheme val="minor"/>
    </font>
    <font>
      <b/>
      <sz val="8"/>
      <color theme="1"/>
      <name val="Arial"/>
      <family val="2"/>
    </font>
    <font>
      <sz val="8"/>
      <color theme="1"/>
      <name val="Arial"/>
      <family val="2"/>
    </font>
    <font>
      <sz val="8"/>
      <color theme="1"/>
      <name val="Calibri"/>
      <family val="2"/>
      <scheme val="minor"/>
    </font>
    <font>
      <b/>
      <sz val="8"/>
      <color theme="1"/>
      <name val="Calibri"/>
      <family val="2"/>
      <scheme val="minor"/>
    </font>
    <font>
      <sz val="8"/>
      <color indexed="8"/>
      <name val="Calibri"/>
      <family val="2"/>
      <scheme val="minor"/>
    </font>
    <font>
      <sz val="8"/>
      <name val="Arial"/>
      <family val="2"/>
    </font>
    <font>
      <b/>
      <sz val="8"/>
      <color indexed="8"/>
      <name val="Calibri"/>
      <family val="2"/>
      <scheme val="minor"/>
    </font>
    <font>
      <b/>
      <sz val="8"/>
      <name val="Arial"/>
      <family val="2"/>
    </font>
    <font>
      <b/>
      <sz val="10"/>
      <color theme="1"/>
      <name val="Calibri"/>
      <family val="2"/>
      <scheme val="minor"/>
    </font>
    <font>
      <b/>
      <sz val="9"/>
      <color theme="1"/>
      <name val="Arial"/>
      <family val="2"/>
    </font>
    <font>
      <sz val="9"/>
      <color theme="1"/>
      <name val="Arial"/>
      <family val="2"/>
    </font>
    <font>
      <b/>
      <sz val="9"/>
      <color theme="1"/>
      <name val="Calibri"/>
      <family val="2"/>
    </font>
    <font>
      <sz val="9"/>
      <color indexed="8"/>
      <name val="Tahoma"/>
      <family val="2"/>
    </font>
    <font>
      <sz val="9"/>
      <color indexed="8"/>
      <name val="Calibri"/>
      <family val="2"/>
      <scheme val="minor"/>
    </font>
    <font>
      <sz val="9"/>
      <color theme="1"/>
      <name val="Calibri"/>
      <family val="2"/>
    </font>
    <font>
      <b/>
      <sz val="8"/>
      <color indexed="8"/>
      <name val="Tahoma"/>
      <family val="2"/>
    </font>
    <font>
      <b/>
      <sz val="8"/>
      <color theme="1"/>
      <name val="Calibri"/>
      <family val="2"/>
    </font>
    <font>
      <b/>
      <sz val="20"/>
      <color theme="1"/>
      <name val="Cambria"/>
      <family val="1"/>
      <scheme val="major"/>
    </font>
    <font>
      <b/>
      <sz val="12"/>
      <color theme="1"/>
      <name val="Cambria"/>
      <family val="1"/>
      <scheme val="major"/>
    </font>
    <font>
      <sz val="12"/>
      <name val="Calibri"/>
      <family val="2"/>
      <scheme val="minor"/>
    </font>
    <font>
      <b/>
      <i/>
      <sz val="14"/>
      <color theme="1"/>
      <name val="Calibri"/>
      <family val="2"/>
      <scheme val="minor"/>
    </font>
    <font>
      <sz val="11"/>
      <color theme="1"/>
      <name val="Calibri"/>
      <family val="2"/>
    </font>
    <font>
      <b/>
      <sz val="11"/>
      <color theme="1"/>
      <name val="Calibri"/>
      <family val="2"/>
    </font>
    <font>
      <b/>
      <i/>
      <sz val="16"/>
      <color theme="1"/>
      <name val="Calibri"/>
      <family val="2"/>
    </font>
  </fonts>
  <fills count="4">
    <fill>
      <patternFill patternType="none"/>
    </fill>
    <fill>
      <patternFill patternType="gray125"/>
    </fill>
    <fill>
      <patternFill patternType="solid">
        <fgColor theme="1" tint="0.499984740745262"/>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48" fillId="0" borderId="0"/>
    <xf numFmtId="43" fontId="48" fillId="0" borderId="0" applyFont="0" applyFill="0" applyBorder="0" applyAlignment="0" applyProtection="0"/>
  </cellStyleXfs>
  <cellXfs count="367">
    <xf numFmtId="0" fontId="0" fillId="0" borderId="0" xfId="0"/>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164" fontId="3" fillId="0" borderId="4" xfId="0" applyNumberFormat="1" applyFont="1" applyBorder="1" applyAlignment="1">
      <alignment horizontal="center" vertical="center" wrapText="1"/>
    </xf>
    <xf numFmtId="0" fontId="5" fillId="0" borderId="4" xfId="0" applyFont="1" applyBorder="1" applyAlignment="1">
      <alignment horizontal="justify" vertical="top" wrapText="1"/>
    </xf>
    <xf numFmtId="2" fontId="3" fillId="0" borderId="4" xfId="0" applyNumberFormat="1" applyFont="1" applyBorder="1" applyAlignment="1">
      <alignment horizontal="center" vertical="center"/>
    </xf>
    <xf numFmtId="2" fontId="5" fillId="0" borderId="4" xfId="0" applyNumberFormat="1" applyFont="1" applyBorder="1" applyAlignment="1">
      <alignment horizontal="center" vertical="center"/>
    </xf>
    <xf numFmtId="164" fontId="3" fillId="0" borderId="4" xfId="0" applyNumberFormat="1" applyFont="1" applyBorder="1" applyAlignment="1">
      <alignment horizontal="center" vertical="center"/>
    </xf>
    <xf numFmtId="0" fontId="6" fillId="0" borderId="4" xfId="0" applyFont="1" applyBorder="1" applyAlignment="1" applyProtection="1">
      <alignment horizontal="justify" vertical="top"/>
      <protection locked="0"/>
    </xf>
    <xf numFmtId="0" fontId="5" fillId="0" borderId="4" xfId="0" applyFont="1" applyBorder="1" applyAlignment="1">
      <alignment horizontal="center" vertical="center" wrapText="1"/>
    </xf>
    <xf numFmtId="2" fontId="3" fillId="0" borderId="4" xfId="0" applyNumberFormat="1" applyFont="1" applyBorder="1" applyAlignment="1">
      <alignment horizontal="center" vertical="center" wrapText="1"/>
    </xf>
    <xf numFmtId="0" fontId="3" fillId="0" borderId="4" xfId="0" applyFont="1" applyBorder="1" applyAlignment="1">
      <alignment horizontal="justify" vertical="center" wrapText="1"/>
    </xf>
    <xf numFmtId="2" fontId="5" fillId="0" borderId="4" xfId="0" applyNumberFormat="1" applyFont="1" applyBorder="1" applyAlignment="1">
      <alignment horizontal="center"/>
    </xf>
    <xf numFmtId="2" fontId="5" fillId="0" borderId="4" xfId="0" applyNumberFormat="1" applyFont="1" applyBorder="1" applyAlignment="1">
      <alignment horizontal="right"/>
    </xf>
    <xf numFmtId="0" fontId="7" fillId="0" borderId="4" xfId="0" applyFont="1" applyBorder="1" applyAlignment="1">
      <alignment horizontal="center" vertical="center" wrapText="1"/>
    </xf>
    <xf numFmtId="2" fontId="3" fillId="0" borderId="4" xfId="0" applyNumberFormat="1" applyFont="1" applyBorder="1" applyAlignment="1">
      <alignment horizontal="justify" vertical="center" wrapText="1"/>
    </xf>
    <xf numFmtId="2" fontId="7" fillId="0" borderId="4" xfId="0" applyNumberFormat="1" applyFont="1" applyBorder="1" applyAlignment="1">
      <alignment horizontal="center" vertical="center" wrapText="1"/>
    </xf>
    <xf numFmtId="0" fontId="3" fillId="0" borderId="4" xfId="0" applyFont="1" applyBorder="1"/>
    <xf numFmtId="0" fontId="8" fillId="0" borderId="0" xfId="0" applyFont="1"/>
    <xf numFmtId="0" fontId="9" fillId="0" borderId="0" xfId="0" applyFont="1" applyAlignment="1">
      <alignment horizontal="left" vertical="top"/>
    </xf>
    <xf numFmtId="164" fontId="10" fillId="0" borderId="0" xfId="0" applyNumberFormat="1" applyFont="1" applyAlignment="1">
      <alignment horizontal="center" vertical="center"/>
    </xf>
    <xf numFmtId="0" fontId="0" fillId="0" borderId="0" xfId="0" applyAlignment="1">
      <alignment horizontal="center" vertical="center"/>
    </xf>
    <xf numFmtId="164" fontId="0" fillId="0" borderId="0" xfId="0" applyNumberFormat="1"/>
    <xf numFmtId="0" fontId="10" fillId="0" borderId="0" xfId="0" applyFont="1" applyAlignment="1">
      <alignment horizontal="left" vertical="center"/>
    </xf>
    <xf numFmtId="0" fontId="10" fillId="0" borderId="0" xfId="0" applyFont="1" applyAlignment="1">
      <alignment horizontal="center"/>
    </xf>
    <xf numFmtId="0" fontId="7" fillId="0" borderId="4" xfId="0" applyFont="1" applyBorder="1" applyAlignment="1">
      <alignment horizontal="center" vertical="center"/>
    </xf>
    <xf numFmtId="164" fontId="7" fillId="0" borderId="4" xfId="0" applyNumberFormat="1" applyFont="1" applyBorder="1" applyAlignment="1">
      <alignment horizontal="center" vertical="center" wrapText="1"/>
    </xf>
    <xf numFmtId="0" fontId="11" fillId="0" borderId="4" xfId="0" applyFont="1" applyBorder="1" applyAlignment="1">
      <alignment horizontal="left" vertical="top" wrapText="1"/>
    </xf>
    <xf numFmtId="2" fontId="7" fillId="0" borderId="4" xfId="0" applyNumberFormat="1" applyFont="1" applyBorder="1" applyAlignment="1">
      <alignment horizontal="center" vertical="center"/>
    </xf>
    <xf numFmtId="2" fontId="11" fillId="0" borderId="4" xfId="0" applyNumberFormat="1" applyFont="1" applyBorder="1" applyAlignment="1">
      <alignment horizontal="center" vertical="center"/>
    </xf>
    <xf numFmtId="0" fontId="11" fillId="0" borderId="4" xfId="0" applyFont="1" applyBorder="1" applyAlignment="1">
      <alignment horizontal="justify" vertical="top" wrapText="1"/>
    </xf>
    <xf numFmtId="0" fontId="12" fillId="0" borderId="4" xfId="0" applyFont="1" applyBorder="1" applyAlignment="1" applyProtection="1">
      <alignment horizontal="justify" vertical="top"/>
      <protection locked="0"/>
    </xf>
    <xf numFmtId="0" fontId="11" fillId="0" borderId="4" xfId="0" applyFont="1" applyBorder="1" applyAlignment="1">
      <alignment horizontal="center" vertical="center" wrapText="1"/>
    </xf>
    <xf numFmtId="0" fontId="7" fillId="0" borderId="4" xfId="0" applyFont="1" applyBorder="1" applyAlignment="1">
      <alignment horizontal="justify" vertical="center" wrapText="1"/>
    </xf>
    <xf numFmtId="2" fontId="11" fillId="0" borderId="4" xfId="0" applyNumberFormat="1" applyFont="1" applyBorder="1" applyAlignment="1">
      <alignment horizontal="center"/>
    </xf>
    <xf numFmtId="2" fontId="11" fillId="0" borderId="4" xfId="0" applyNumberFormat="1" applyFont="1" applyBorder="1" applyAlignment="1">
      <alignment horizontal="right"/>
    </xf>
    <xf numFmtId="0" fontId="7" fillId="0" borderId="4" xfId="0" applyFont="1" applyBorder="1" applyAlignment="1">
      <alignment horizontal="center"/>
    </xf>
    <xf numFmtId="0" fontId="11" fillId="0" borderId="4" xfId="0" applyFont="1" applyBorder="1" applyAlignment="1">
      <alignment horizontal="justify" vertical="top"/>
    </xf>
    <xf numFmtId="2" fontId="11" fillId="0" borderId="4" xfId="0" applyNumberFormat="1" applyFont="1" applyBorder="1" applyAlignment="1">
      <alignment horizontal="justify" vertical="top"/>
    </xf>
    <xf numFmtId="0" fontId="7" fillId="0" borderId="4" xfId="0" applyFont="1" applyBorder="1"/>
    <xf numFmtId="0" fontId="1" fillId="0" borderId="0" xfId="0" applyFont="1"/>
    <xf numFmtId="0" fontId="0" fillId="0" borderId="0" xfId="0" applyAlignment="1">
      <alignment horizontal="left" vertical="top"/>
    </xf>
    <xf numFmtId="0" fontId="1" fillId="0" borderId="0" xfId="0" applyFont="1" applyAlignment="1">
      <alignment horizontal="left" vertical="center"/>
    </xf>
    <xf numFmtId="0" fontId="1" fillId="0" borderId="0" xfId="0" applyFont="1" applyAlignment="1">
      <alignment horizontal="center"/>
    </xf>
    <xf numFmtId="0" fontId="1" fillId="0" borderId="0" xfId="0" applyFont="1" applyAlignment="1">
      <alignment horizontal="center" vertical="center"/>
    </xf>
    <xf numFmtId="0" fontId="14" fillId="0" borderId="4" xfId="0" applyFont="1" applyBorder="1" applyAlignment="1">
      <alignment horizontal="center" vertical="center" wrapText="1"/>
    </xf>
    <xf numFmtId="164" fontId="14" fillId="0" borderId="4" xfId="0" applyNumberFormat="1" applyFont="1" applyBorder="1" applyAlignment="1">
      <alignment horizontal="center" vertical="center" wrapText="1"/>
    </xf>
    <xf numFmtId="165" fontId="1" fillId="0" borderId="4" xfId="0" applyNumberFormat="1" applyFont="1" applyBorder="1" applyAlignment="1">
      <alignment horizontal="center" vertical="center" wrapText="1"/>
    </xf>
    <xf numFmtId="2" fontId="1" fillId="0" borderId="4" xfId="0" applyNumberFormat="1" applyFont="1" applyBorder="1" applyAlignment="1">
      <alignment horizontal="center" vertical="center" wrapText="1"/>
    </xf>
    <xf numFmtId="2" fontId="1" fillId="0" borderId="4" xfId="0" applyNumberFormat="1" applyFont="1" applyBorder="1" applyAlignment="1">
      <alignment horizontal="center" vertical="center"/>
    </xf>
    <xf numFmtId="1" fontId="1" fillId="0" borderId="4" xfId="0" applyNumberFormat="1" applyFont="1" applyBorder="1" applyAlignment="1">
      <alignment horizontal="center" vertical="center" wrapText="1"/>
    </xf>
    <xf numFmtId="164" fontId="1" fillId="0" borderId="4" xfId="0" applyNumberFormat="1" applyFont="1" applyBorder="1" applyAlignment="1">
      <alignment horizontal="center" vertical="center"/>
    </xf>
    <xf numFmtId="165" fontId="1" fillId="0" borderId="4" xfId="0" applyNumberFormat="1" applyFont="1" applyBorder="1" applyAlignment="1">
      <alignment horizontal="center" vertical="center"/>
    </xf>
    <xf numFmtId="1" fontId="1" fillId="0" borderId="4" xfId="0" applyNumberFormat="1"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5" fillId="0" borderId="4" xfId="0" applyFont="1" applyBorder="1" applyAlignment="1">
      <alignment horizontal="center" vertical="top" wrapText="1"/>
    </xf>
    <xf numFmtId="0" fontId="15" fillId="0" borderId="4" xfId="0" applyFont="1" applyBorder="1" applyAlignment="1">
      <alignment horizontal="left" vertical="top" wrapText="1"/>
    </xf>
    <xf numFmtId="164" fontId="14" fillId="0" borderId="4" xfId="0" applyNumberFormat="1" applyFont="1" applyBorder="1" applyAlignment="1">
      <alignment horizontal="center"/>
    </xf>
    <xf numFmtId="164" fontId="10" fillId="0" borderId="4" xfId="0" applyNumberFormat="1" applyFont="1" applyBorder="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164" fontId="1" fillId="0" borderId="0" xfId="0" applyNumberFormat="1" applyFont="1" applyAlignment="1">
      <alignment horizontal="center" vertical="center"/>
    </xf>
    <xf numFmtId="2" fontId="1" fillId="0" borderId="0" xfId="0" applyNumberFormat="1" applyFont="1" applyAlignment="1">
      <alignment horizontal="center" vertical="center"/>
    </xf>
    <xf numFmtId="0" fontId="17" fillId="0" borderId="0" xfId="0" applyFont="1"/>
    <xf numFmtId="0" fontId="16" fillId="0" borderId="0" xfId="0" applyFont="1" applyAlignment="1">
      <alignment horizontal="center" vertical="center" wrapText="1"/>
    </xf>
    <xf numFmtId="0" fontId="21" fillId="0" borderId="4" xfId="0" applyFont="1" applyBorder="1" applyAlignment="1">
      <alignment horizontal="center" vertical="center" wrapText="1"/>
    </xf>
    <xf numFmtId="0" fontId="21" fillId="0" borderId="4" xfId="0" applyFont="1" applyBorder="1" applyAlignment="1">
      <alignment vertical="top" wrapText="1"/>
    </xf>
    <xf numFmtId="0" fontId="15" fillId="0" borderId="4" xfId="0" applyFont="1" applyBorder="1" applyAlignment="1">
      <alignment horizontal="center" vertical="center"/>
    </xf>
    <xf numFmtId="0" fontId="22" fillId="0" borderId="4" xfId="0" applyFont="1" applyBorder="1" applyAlignment="1">
      <alignment horizontal="center" vertical="center"/>
    </xf>
    <xf numFmtId="2" fontId="15" fillId="0" borderId="4" xfId="0" applyNumberFormat="1" applyFont="1" applyBorder="1" applyAlignment="1">
      <alignment horizontal="center" vertical="center"/>
    </xf>
    <xf numFmtId="0" fontId="23" fillId="0" borderId="4" xfId="0" applyFont="1" applyBorder="1" applyAlignment="1">
      <alignment vertical="top" wrapText="1"/>
    </xf>
    <xf numFmtId="0" fontId="15" fillId="0" borderId="4" xfId="0" applyFont="1" applyBorder="1" applyAlignment="1">
      <alignment horizontal="center" vertical="center" wrapText="1"/>
    </xf>
    <xf numFmtId="0" fontId="21" fillId="0" borderId="4" xfId="0" applyFont="1" applyBorder="1" applyAlignment="1">
      <alignment horizontal="center" vertical="center"/>
    </xf>
    <xf numFmtId="2" fontId="15" fillId="0" borderId="4" xfId="0" applyNumberFormat="1" applyFont="1" applyBorder="1" applyAlignment="1">
      <alignment horizontal="center" vertical="center" wrapText="1"/>
    </xf>
    <xf numFmtId="0" fontId="24" fillId="0" borderId="4" xfId="0" applyFont="1" applyBorder="1" applyAlignment="1">
      <alignment horizontal="center" vertical="center"/>
    </xf>
    <xf numFmtId="2" fontId="21" fillId="0" borderId="4" xfId="0" applyNumberFormat="1" applyFont="1" applyBorder="1" applyAlignment="1">
      <alignment horizontal="center" vertical="center"/>
    </xf>
    <xf numFmtId="0" fontId="0" fillId="0" borderId="4" xfId="0" applyBorder="1" applyAlignment="1">
      <alignment vertical="center" wrapText="1"/>
    </xf>
    <xf numFmtId="0" fontId="25" fillId="0" borderId="4" xfId="0" applyFont="1" applyBorder="1"/>
    <xf numFmtId="0" fontId="21" fillId="0" borderId="4" xfId="0" applyFont="1" applyBorder="1"/>
    <xf numFmtId="0" fontId="15" fillId="0" borderId="4" xfId="0" applyFont="1" applyBorder="1"/>
    <xf numFmtId="0" fontId="21" fillId="0" borderId="4" xfId="0" applyFont="1" applyFill="1" applyBorder="1" applyAlignment="1">
      <alignment horizontal="center" vertical="center" wrapText="1"/>
    </xf>
    <xf numFmtId="2" fontId="1" fillId="0" borderId="4" xfId="0" applyNumberFormat="1" applyFont="1" applyBorder="1" applyAlignment="1">
      <alignment horizontal="center"/>
    </xf>
    <xf numFmtId="0" fontId="21" fillId="0" borderId="4" xfId="0" applyFont="1" applyBorder="1" applyAlignment="1">
      <alignment vertical="top"/>
    </xf>
    <xf numFmtId="0" fontId="26" fillId="0" borderId="4" xfId="0" applyFont="1" applyBorder="1"/>
    <xf numFmtId="2" fontId="15" fillId="0" borderId="4" xfId="0" applyNumberFormat="1" applyFont="1" applyBorder="1" applyAlignment="1">
      <alignment horizontal="center"/>
    </xf>
    <xf numFmtId="0" fontId="0" fillId="0" borderId="0" xfId="0" applyAlignment="1">
      <alignment horizontal="center"/>
    </xf>
    <xf numFmtId="0" fontId="27" fillId="0" borderId="0" xfId="0" applyFont="1"/>
    <xf numFmtId="0" fontId="28" fillId="0" borderId="0" xfId="0" applyFont="1" applyAlignment="1">
      <alignment horizontal="center"/>
    </xf>
    <xf numFmtId="0" fontId="29" fillId="0" borderId="0" xfId="0" applyFont="1"/>
    <xf numFmtId="2" fontId="22" fillId="0" borderId="4" xfId="0" applyNumberFormat="1" applyFont="1" applyBorder="1" applyAlignment="1">
      <alignment horizontal="center" vertical="center"/>
    </xf>
    <xf numFmtId="0" fontId="31" fillId="0" borderId="4" xfId="0" applyFont="1" applyBorder="1" applyAlignment="1">
      <alignment horizontal="center" vertical="center" wrapText="1"/>
    </xf>
    <xf numFmtId="0" fontId="31" fillId="0" borderId="4" xfId="0" applyFont="1" applyBorder="1" applyAlignment="1">
      <alignment vertical="top" wrapText="1"/>
    </xf>
    <xf numFmtId="0" fontId="21" fillId="0" borderId="4" xfId="0" applyFont="1" applyBorder="1" applyAlignment="1">
      <alignment horizontal="left" vertical="top" wrapText="1"/>
    </xf>
    <xf numFmtId="0" fontId="32" fillId="0" borderId="4" xfId="0" applyFont="1" applyBorder="1" applyAlignment="1">
      <alignment horizontal="left" vertical="top" wrapText="1"/>
    </xf>
    <xf numFmtId="0" fontId="32" fillId="0" borderId="4" xfId="0" applyFont="1" applyBorder="1" applyAlignment="1">
      <alignment horizontal="center" vertical="center" wrapText="1"/>
    </xf>
    <xf numFmtId="2" fontId="33" fillId="0" borderId="4" xfId="0" applyNumberFormat="1" applyFont="1" applyBorder="1" applyAlignment="1">
      <alignment horizontal="center" vertical="center"/>
    </xf>
    <xf numFmtId="0" fontId="21" fillId="0" borderId="6" xfId="0" applyFont="1" applyBorder="1" applyAlignment="1">
      <alignment horizontal="center" vertical="center" wrapText="1"/>
    </xf>
    <xf numFmtId="0" fontId="21" fillId="0" borderId="6" xfId="0" applyFont="1" applyBorder="1" applyAlignment="1">
      <alignment vertical="top" wrapText="1"/>
    </xf>
    <xf numFmtId="0" fontId="14" fillId="0" borderId="4" xfId="0" applyFont="1" applyBorder="1" applyAlignment="1">
      <alignment horizontal="center" vertical="top" wrapText="1"/>
    </xf>
    <xf numFmtId="0" fontId="33" fillId="0" borderId="4" xfId="0" applyFont="1" applyBorder="1" applyAlignment="1">
      <alignment horizontal="center" vertical="center"/>
    </xf>
    <xf numFmtId="0" fontId="21" fillId="0" borderId="4" xfId="0" applyFont="1" applyBorder="1" applyAlignment="1">
      <alignment horizontal="center" vertical="top" wrapText="1"/>
    </xf>
    <xf numFmtId="0" fontId="21" fillId="0" borderId="4" xfId="0" applyFont="1" applyBorder="1" applyAlignment="1">
      <alignment horizontal="center" wrapText="1"/>
    </xf>
    <xf numFmtId="0" fontId="15" fillId="0" borderId="4" xfId="0" applyFont="1" applyBorder="1" applyAlignment="1">
      <alignment horizontal="center" wrapText="1"/>
    </xf>
    <xf numFmtId="2" fontId="15" fillId="0" borderId="4" xfId="0" applyNumberFormat="1" applyFont="1" applyBorder="1" applyAlignment="1">
      <alignment horizontal="center" wrapText="1"/>
    </xf>
    <xf numFmtId="2" fontId="35" fillId="0" borderId="4" xfId="0" applyNumberFormat="1" applyFont="1" applyBorder="1" applyAlignment="1"/>
    <xf numFmtId="0" fontId="21" fillId="0" borderId="0" xfId="0" applyFont="1"/>
    <xf numFmtId="0" fontId="26" fillId="0" borderId="0" xfId="0" applyFont="1"/>
    <xf numFmtId="0" fontId="30" fillId="0" borderId="0" xfId="0" applyFont="1" applyAlignment="1"/>
    <xf numFmtId="0" fontId="0" fillId="0" borderId="4" xfId="0" applyFont="1" applyBorder="1" applyAlignment="1">
      <alignment horizontal="center" vertical="center" wrapText="1"/>
    </xf>
    <xf numFmtId="0" fontId="37" fillId="0" borderId="0" xfId="0" applyFont="1"/>
    <xf numFmtId="0" fontId="0" fillId="0" borderId="4" xfId="0" applyBorder="1" applyAlignment="1">
      <alignment horizontal="center" vertical="center" wrapText="1"/>
    </xf>
    <xf numFmtId="0" fontId="38" fillId="0" borderId="4" xfId="0" applyFont="1" applyBorder="1" applyAlignment="1">
      <alignment horizontal="left" vertical="center" wrapText="1"/>
    </xf>
    <xf numFmtId="0" fontId="39" fillId="0" borderId="4" xfId="0" applyFont="1" applyBorder="1" applyAlignment="1">
      <alignment horizontal="center" vertical="center"/>
    </xf>
    <xf numFmtId="0" fontId="40" fillId="0" borderId="4" xfId="0" applyFont="1" applyBorder="1" applyAlignment="1">
      <alignment horizontal="center" vertical="center" wrapText="1"/>
    </xf>
    <xf numFmtId="0" fontId="40" fillId="0" borderId="4" xfId="0" applyNumberFormat="1" applyFont="1" applyBorder="1" applyAlignment="1">
      <alignment horizontal="left" vertical="top" wrapText="1"/>
    </xf>
    <xf numFmtId="0" fontId="38" fillId="0" borderId="6" xfId="0" applyFont="1" applyBorder="1" applyAlignment="1">
      <alignment horizontal="center" vertical="center" wrapText="1"/>
    </xf>
    <xf numFmtId="0" fontId="38" fillId="0" borderId="4" xfId="0" applyFont="1" applyBorder="1" applyAlignment="1">
      <alignment horizontal="justify" vertical="top"/>
    </xf>
    <xf numFmtId="2" fontId="38" fillId="0" borderId="4" xfId="0" applyNumberFormat="1" applyFont="1" applyBorder="1" applyAlignment="1">
      <alignment horizontal="center" vertical="center"/>
    </xf>
    <xf numFmtId="0" fontId="38" fillId="0" borderId="4" xfId="0" applyFont="1" applyBorder="1" applyAlignment="1">
      <alignment horizontal="center" vertical="center"/>
    </xf>
    <xf numFmtId="0" fontId="0" fillId="0" borderId="6" xfId="0" applyBorder="1" applyAlignment="1">
      <alignment horizontal="center" vertical="center" wrapText="1"/>
    </xf>
    <xf numFmtId="2" fontId="39" fillId="0" borderId="4" xfId="0" applyNumberFormat="1" applyFont="1" applyBorder="1" applyAlignment="1">
      <alignment horizontal="center" vertical="center"/>
    </xf>
    <xf numFmtId="0" fontId="40" fillId="0" borderId="4" xfId="0" applyFont="1" applyBorder="1" applyAlignment="1">
      <alignment horizontal="left" vertical="top" wrapText="1"/>
    </xf>
    <xf numFmtId="2" fontId="40" fillId="0" borderId="4" xfId="0" applyNumberFormat="1" applyFont="1" applyBorder="1" applyAlignment="1">
      <alignment horizontal="center" vertical="center" wrapText="1"/>
    </xf>
    <xf numFmtId="0" fontId="41" fillId="0" borderId="4" xfId="0" applyFont="1" applyBorder="1" applyAlignment="1">
      <alignment horizontal="center" vertical="center" wrapText="1"/>
    </xf>
    <xf numFmtId="0" fontId="42" fillId="3" borderId="8" xfId="0" applyFont="1" applyFill="1" applyBorder="1" applyAlignment="1">
      <alignment horizontal="justify" vertical="top"/>
    </xf>
    <xf numFmtId="0" fontId="12" fillId="3" borderId="6" xfId="0" applyFont="1" applyFill="1" applyBorder="1" applyAlignment="1">
      <alignment horizontal="justify" vertical="top" wrapText="1"/>
    </xf>
    <xf numFmtId="2" fontId="42" fillId="3" borderId="9" xfId="0" applyNumberFormat="1" applyFont="1" applyFill="1" applyBorder="1" applyAlignment="1">
      <alignment horizontal="center" vertical="center"/>
    </xf>
    <xf numFmtId="0" fontId="42" fillId="3" borderId="10" xfId="0" applyFont="1" applyFill="1" applyBorder="1" applyAlignment="1">
      <alignment horizontal="center" vertical="center"/>
    </xf>
    <xf numFmtId="2" fontId="44" fillId="3" borderId="9" xfId="0" applyNumberFormat="1" applyFont="1" applyFill="1" applyBorder="1" applyAlignment="1">
      <alignment horizontal="center" vertical="center"/>
    </xf>
    <xf numFmtId="0" fontId="45" fillId="0" borderId="4" xfId="0" applyFont="1" applyBorder="1" applyAlignment="1">
      <alignment vertical="top"/>
    </xf>
    <xf numFmtId="2" fontId="15" fillId="0" borderId="4" xfId="0" applyNumberFormat="1" applyFont="1" applyBorder="1" applyAlignment="1">
      <alignment horizontal="center" vertical="top"/>
    </xf>
    <xf numFmtId="0" fontId="21" fillId="0" borderId="1" xfId="0" applyFont="1" applyBorder="1" applyAlignment="1">
      <alignment horizontal="right" vertical="top"/>
    </xf>
    <xf numFmtId="0" fontId="21" fillId="0" borderId="2" xfId="0" applyFont="1" applyBorder="1" applyAlignment="1">
      <alignment horizontal="right" vertical="top"/>
    </xf>
    <xf numFmtId="0" fontId="21" fillId="0" borderId="3" xfId="0" applyFont="1" applyBorder="1" applyAlignment="1">
      <alignment horizontal="right" vertical="top"/>
    </xf>
    <xf numFmtId="0" fontId="16" fillId="0" borderId="4" xfId="0" applyFont="1" applyBorder="1" applyAlignment="1">
      <alignment horizontal="center" vertical="center" wrapText="1"/>
    </xf>
    <xf numFmtId="0" fontId="14" fillId="0" borderId="4" xfId="0" applyFont="1" applyBorder="1" applyAlignment="1">
      <alignment vertical="center" wrapText="1"/>
    </xf>
    <xf numFmtId="0" fontId="15" fillId="0" borderId="4" xfId="0" applyFont="1" applyBorder="1" applyAlignment="1">
      <alignment horizontal="center" vertical="top"/>
    </xf>
    <xf numFmtId="0" fontId="21" fillId="0" borderId="4" xfId="0" applyFont="1" applyFill="1" applyBorder="1" applyAlignment="1">
      <alignment horizontal="center" vertical="top" wrapText="1"/>
    </xf>
    <xf numFmtId="0" fontId="33" fillId="0" borderId="4" xfId="0" applyFont="1" applyBorder="1" applyAlignment="1">
      <alignment horizontal="center"/>
    </xf>
    <xf numFmtId="0" fontId="1" fillId="0" borderId="4" xfId="0" applyFont="1" applyBorder="1" applyAlignment="1">
      <alignment horizontal="center"/>
    </xf>
    <xf numFmtId="2" fontId="31" fillId="0" borderId="4" xfId="0" applyNumberFormat="1" applyFont="1" applyBorder="1" applyAlignment="1">
      <alignment horizontal="center" vertical="center"/>
    </xf>
    <xf numFmtId="2" fontId="21" fillId="0" borderId="4" xfId="0" applyNumberFormat="1" applyFont="1" applyBorder="1" applyAlignment="1">
      <alignment horizontal="center" vertical="center" wrapText="1"/>
    </xf>
    <xf numFmtId="0" fontId="31" fillId="0" borderId="4" xfId="0" applyFont="1" applyBorder="1" applyAlignment="1">
      <alignment horizontal="center" vertical="center"/>
    </xf>
    <xf numFmtId="0" fontId="21" fillId="0" borderId="6" xfId="0" applyFont="1" applyBorder="1" applyAlignment="1">
      <alignment vertical="center" wrapText="1"/>
    </xf>
    <xf numFmtId="0" fontId="0" fillId="0" borderId="0" xfId="0" applyFont="1" applyAlignment="1">
      <alignment horizontal="center" vertical="center"/>
    </xf>
    <xf numFmtId="2" fontId="21" fillId="0" borderId="0" xfId="0" applyNumberFormat="1" applyFont="1" applyBorder="1" applyAlignment="1">
      <alignment horizontal="center" vertical="center" wrapText="1"/>
    </xf>
    <xf numFmtId="0" fontId="0" fillId="0" borderId="4" xfId="0" applyFont="1" applyBorder="1" applyAlignment="1">
      <alignment horizontal="center" vertical="center"/>
    </xf>
    <xf numFmtId="166" fontId="21" fillId="0" borderId="4" xfId="0" applyNumberFormat="1" applyFont="1" applyBorder="1" applyAlignment="1">
      <alignment horizontal="center" vertical="center" wrapText="1"/>
    </xf>
    <xf numFmtId="0" fontId="48" fillId="0" borderId="0" xfId="0" applyFont="1"/>
    <xf numFmtId="0" fontId="49" fillId="0" borderId="4" xfId="1" applyFont="1" applyBorder="1" applyAlignment="1">
      <alignment horizontal="center" vertical="center" wrapText="1"/>
    </xf>
    <xf numFmtId="0" fontId="50" fillId="0" borderId="4" xfId="1" applyFont="1" applyBorder="1" applyAlignment="1">
      <alignment horizontal="justify" vertical="top" wrapText="1"/>
    </xf>
    <xf numFmtId="2" fontId="49" fillId="0" borderId="4" xfId="1" applyNumberFormat="1" applyFont="1" applyBorder="1" applyAlignment="1">
      <alignment horizontal="center" vertical="center" wrapText="1"/>
    </xf>
    <xf numFmtId="2" fontId="50" fillId="0" borderId="4" xfId="1" applyNumberFormat="1" applyFont="1" applyBorder="1" applyAlignment="1">
      <alignment horizontal="center" vertical="center"/>
    </xf>
    <xf numFmtId="2" fontId="49" fillId="0" borderId="4" xfId="1" applyNumberFormat="1" applyFont="1" applyBorder="1" applyAlignment="1">
      <alignment horizontal="center" vertical="center"/>
    </xf>
    <xf numFmtId="164" fontId="49" fillId="0" borderId="4" xfId="1" applyNumberFormat="1" applyFont="1" applyBorder="1" applyAlignment="1">
      <alignment horizontal="center" vertical="center"/>
    </xf>
    <xf numFmtId="2" fontId="51" fillId="0" borderId="4" xfId="0" applyNumberFormat="1" applyFont="1" applyBorder="1" applyAlignment="1">
      <alignment horizontal="center" vertical="center"/>
    </xf>
    <xf numFmtId="0" fontId="52" fillId="0" borderId="4" xfId="0" applyFont="1" applyBorder="1" applyAlignment="1">
      <alignment horizontal="center" vertical="center" wrapText="1"/>
    </xf>
    <xf numFmtId="0" fontId="51" fillId="0" borderId="4" xfId="0" applyFont="1" applyBorder="1" applyAlignment="1">
      <alignment horizontal="justify" vertical="top" wrapText="1"/>
    </xf>
    <xf numFmtId="0" fontId="53" fillId="3" borderId="4" xfId="0" applyFont="1" applyFill="1" applyBorder="1" applyAlignment="1">
      <alignment horizontal="justify" vertical="top" wrapText="1"/>
    </xf>
    <xf numFmtId="0" fontId="54" fillId="0" borderId="4" xfId="1" applyFont="1" applyBorder="1" applyAlignment="1" applyProtection="1">
      <alignment horizontal="center" vertical="center"/>
      <protection locked="0"/>
    </xf>
    <xf numFmtId="0" fontId="54" fillId="0" borderId="4" xfId="1" applyFont="1" applyBorder="1" applyAlignment="1" applyProtection="1">
      <alignment horizontal="justify" vertical="top"/>
      <protection locked="0"/>
    </xf>
    <xf numFmtId="165" fontId="51" fillId="0" borderId="4" xfId="0" applyNumberFormat="1" applyFont="1" applyBorder="1" applyAlignment="1">
      <alignment horizontal="center" vertical="center"/>
    </xf>
    <xf numFmtId="2" fontId="51" fillId="0" borderId="4" xfId="0" applyNumberFormat="1" applyFont="1" applyBorder="1" applyAlignment="1">
      <alignment horizontal="center" vertical="center" wrapText="1"/>
    </xf>
    <xf numFmtId="0" fontId="51" fillId="0" borderId="4" xfId="0" applyFont="1" applyBorder="1" applyAlignment="1">
      <alignment horizontal="center" vertical="center" wrapText="1"/>
    </xf>
    <xf numFmtId="2" fontId="52" fillId="0" borderId="4" xfId="0" applyNumberFormat="1" applyFont="1" applyBorder="1" applyAlignment="1">
      <alignment horizontal="center" vertical="center" wrapText="1"/>
    </xf>
    <xf numFmtId="0" fontId="52" fillId="0" borderId="4" xfId="0" applyFont="1" applyBorder="1" applyAlignment="1">
      <alignment horizontal="center" vertical="top"/>
    </xf>
    <xf numFmtId="0" fontId="51" fillId="0" borderId="4" xfId="0" applyFont="1" applyBorder="1" applyAlignment="1">
      <alignment horizontal="justify" vertical="top"/>
    </xf>
    <xf numFmtId="2" fontId="51" fillId="0" borderId="4" xfId="0" applyNumberFormat="1" applyFont="1" applyBorder="1" applyAlignment="1">
      <alignment horizontal="justify" vertical="top"/>
    </xf>
    <xf numFmtId="0" fontId="52" fillId="0" borderId="4" xfId="0" applyFont="1" applyBorder="1" applyAlignment="1">
      <alignment horizontal="center"/>
    </xf>
    <xf numFmtId="0" fontId="52" fillId="0" borderId="4" xfId="0" applyFont="1" applyBorder="1" applyAlignment="1">
      <alignment horizontal="left" vertical="center" wrapText="1"/>
    </xf>
    <xf numFmtId="0" fontId="51" fillId="0" borderId="0" xfId="0" applyFont="1" applyAlignment="1">
      <alignment horizontal="center" vertical="center"/>
    </xf>
    <xf numFmtId="0" fontId="51" fillId="0" borderId="4" xfId="0" applyFont="1" applyBorder="1" applyAlignment="1">
      <alignment horizontal="center" vertical="center"/>
    </xf>
    <xf numFmtId="2" fontId="52" fillId="0" borderId="4" xfId="0" applyNumberFormat="1" applyFont="1" applyBorder="1" applyAlignment="1">
      <alignment horizontal="center" vertical="center"/>
    </xf>
    <xf numFmtId="0" fontId="52" fillId="0" borderId="4" xfId="0" applyFont="1" applyBorder="1"/>
    <xf numFmtId="0" fontId="52" fillId="0" borderId="4" xfId="0" applyFont="1" applyBorder="1" applyAlignment="1">
      <alignment vertical="top"/>
    </xf>
    <xf numFmtId="164" fontId="52" fillId="0" borderId="4" xfId="0" applyNumberFormat="1" applyFont="1" applyBorder="1" applyAlignment="1">
      <alignment horizontal="center" vertical="center"/>
    </xf>
    <xf numFmtId="2" fontId="48" fillId="0" borderId="0" xfId="0" applyNumberFormat="1" applyFont="1"/>
    <xf numFmtId="2" fontId="0" fillId="0" borderId="0" xfId="0" applyNumberFormat="1"/>
    <xf numFmtId="0" fontId="10" fillId="0" borderId="4" xfId="0" applyFont="1" applyBorder="1" applyAlignment="1">
      <alignment horizontal="center" vertical="center" wrapText="1"/>
    </xf>
    <xf numFmtId="0" fontId="47" fillId="0" borderId="4" xfId="0" applyFont="1" applyBorder="1" applyAlignment="1">
      <alignment horizontal="left" vertical="top" wrapText="1"/>
    </xf>
    <xf numFmtId="0" fontId="29" fillId="0" borderId="4" xfId="0" applyFont="1" applyBorder="1" applyAlignment="1">
      <alignment horizontal="center" vertical="center" wrapText="1"/>
    </xf>
    <xf numFmtId="0" fontId="50" fillId="0" borderId="4" xfId="0" applyFont="1" applyBorder="1" applyAlignment="1">
      <alignment horizontal="left" vertical="top" wrapText="1"/>
    </xf>
    <xf numFmtId="0" fontId="49" fillId="0" borderId="4" xfId="1" applyFont="1" applyBorder="1" applyAlignment="1">
      <alignment horizontal="justify" vertical="top" wrapText="1"/>
    </xf>
    <xf numFmtId="0" fontId="35" fillId="0" borderId="4" xfId="0" applyFont="1" applyBorder="1" applyAlignment="1">
      <alignment horizontal="center" vertical="center" wrapText="1"/>
    </xf>
    <xf numFmtId="0" fontId="49" fillId="0" borderId="4" xfId="0" applyFont="1" applyBorder="1" applyAlignment="1">
      <alignment horizontal="left" vertical="top" wrapText="1"/>
    </xf>
    <xf numFmtId="0" fontId="52" fillId="0" borderId="4" xfId="0" applyFont="1" applyBorder="1" applyAlignment="1">
      <alignment horizontal="justify" vertical="top" wrapText="1"/>
    </xf>
    <xf numFmtId="0" fontId="55" fillId="3" borderId="4" xfId="0" applyFont="1" applyFill="1" applyBorder="1" applyAlignment="1">
      <alignment horizontal="justify" vertical="top" wrapText="1"/>
    </xf>
    <xf numFmtId="0" fontId="56" fillId="0" borderId="4" xfId="1" applyFont="1" applyBorder="1" applyAlignment="1" applyProtection="1">
      <alignment horizontal="center" vertical="center"/>
      <protection locked="0"/>
    </xf>
    <xf numFmtId="0" fontId="56" fillId="0" borderId="4" xfId="1" applyFont="1" applyBorder="1" applyAlignment="1" applyProtection="1">
      <alignment horizontal="justify" vertical="top"/>
      <protection locked="0"/>
    </xf>
    <xf numFmtId="165" fontId="52" fillId="0" borderId="4" xfId="0" applyNumberFormat="1" applyFont="1" applyBorder="1" applyAlignment="1">
      <alignment horizontal="center" vertical="center"/>
    </xf>
    <xf numFmtId="0" fontId="52" fillId="0" borderId="4" xfId="0" applyFont="1" applyBorder="1" applyAlignment="1">
      <alignment horizontal="justify" vertical="top"/>
    </xf>
    <xf numFmtId="2" fontId="52" fillId="0" borderId="4" xfId="0" applyNumberFormat="1" applyFont="1" applyBorder="1" applyAlignment="1">
      <alignment horizontal="justify" vertical="top"/>
    </xf>
    <xf numFmtId="0" fontId="52" fillId="0" borderId="0" xfId="0" applyFont="1" applyAlignment="1">
      <alignment horizontal="center" vertical="center"/>
    </xf>
    <xf numFmtId="0" fontId="52" fillId="0" borderId="4" xfId="0" applyFont="1" applyBorder="1" applyAlignment="1">
      <alignment horizontal="center" vertical="center"/>
    </xf>
    <xf numFmtId="0" fontId="57" fillId="0" borderId="4" xfId="0" applyFont="1" applyBorder="1" applyAlignment="1">
      <alignment horizontal="center" vertical="center" wrapText="1"/>
    </xf>
    <xf numFmtId="0" fontId="57" fillId="0" borderId="4" xfId="0" applyFont="1" applyBorder="1" applyAlignment="1">
      <alignment horizontal="center" vertical="center"/>
    </xf>
    <xf numFmtId="0" fontId="58" fillId="0" borderId="4" xfId="1" applyFont="1" applyBorder="1" applyAlignment="1">
      <alignment horizontal="center" vertical="center" wrapText="1"/>
    </xf>
    <xf numFmtId="0" fontId="59" fillId="0" borderId="4" xfId="1" applyFont="1" applyBorder="1" applyAlignment="1">
      <alignment horizontal="justify" vertical="top" wrapText="1"/>
    </xf>
    <xf numFmtId="2" fontId="58" fillId="0" borderId="4" xfId="1" applyNumberFormat="1" applyFont="1" applyBorder="1" applyAlignment="1">
      <alignment horizontal="center" vertical="center" wrapText="1"/>
    </xf>
    <xf numFmtId="2" fontId="59" fillId="0" borderId="4" xfId="1" applyNumberFormat="1" applyFont="1" applyBorder="1" applyAlignment="1">
      <alignment horizontal="center" vertical="center"/>
    </xf>
    <xf numFmtId="2" fontId="58" fillId="0" borderId="4" xfId="1" applyNumberFormat="1" applyFont="1" applyBorder="1" applyAlignment="1">
      <alignment horizontal="center" vertical="center"/>
    </xf>
    <xf numFmtId="164" fontId="58" fillId="0" borderId="4" xfId="1" applyNumberFormat="1" applyFont="1" applyBorder="1" applyAlignment="1">
      <alignment horizontal="center" vertical="center"/>
    </xf>
    <xf numFmtId="0" fontId="30" fillId="0" borderId="4" xfId="0" applyFont="1" applyBorder="1" applyAlignment="1">
      <alignment horizontal="center" vertical="center" wrapText="1"/>
    </xf>
    <xf numFmtId="0" fontId="38" fillId="0" borderId="4" xfId="0" applyFont="1" applyBorder="1" applyAlignment="1">
      <alignment horizontal="left" vertical="top" wrapText="1"/>
    </xf>
    <xf numFmtId="2" fontId="48" fillId="0" borderId="4" xfId="0" applyNumberFormat="1" applyFont="1" applyBorder="1" applyAlignment="1">
      <alignment horizontal="center" vertical="center"/>
    </xf>
    <xf numFmtId="2" fontId="11" fillId="0" borderId="4" xfId="1" applyNumberFormat="1" applyFont="1" applyBorder="1" applyAlignment="1">
      <alignment horizontal="center" vertical="center"/>
    </xf>
    <xf numFmtId="164" fontId="7" fillId="0" borderId="4" xfId="1" applyNumberFormat="1" applyFont="1" applyBorder="1" applyAlignment="1">
      <alignment horizontal="center" vertical="center"/>
    </xf>
    <xf numFmtId="0" fontId="27" fillId="0" borderId="4" xfId="0" applyFont="1" applyBorder="1" applyAlignment="1">
      <alignment horizontal="center" vertical="center" wrapText="1"/>
    </xf>
    <xf numFmtId="0" fontId="17" fillId="0" borderId="4" xfId="0" applyFont="1" applyBorder="1" applyAlignment="1">
      <alignment horizontal="justify" vertical="top" wrapText="1"/>
    </xf>
    <xf numFmtId="2" fontId="17" fillId="0" borderId="4" xfId="0" applyNumberFormat="1" applyFont="1" applyBorder="1" applyAlignment="1">
      <alignment horizontal="center" vertical="center"/>
    </xf>
    <xf numFmtId="0" fontId="54" fillId="0" borderId="0" xfId="1" applyFont="1" applyAlignment="1">
      <alignment horizontal="justify" vertical="top" wrapText="1"/>
    </xf>
    <xf numFmtId="165" fontId="17" fillId="0" borderId="4" xfId="0" applyNumberFormat="1" applyFont="1" applyBorder="1" applyAlignment="1">
      <alignment horizontal="center" vertical="center"/>
    </xf>
    <xf numFmtId="0" fontId="50" fillId="0" borderId="4" xfId="1" applyFont="1" applyBorder="1" applyAlignment="1">
      <alignment horizontal="center" vertical="center" wrapText="1"/>
    </xf>
    <xf numFmtId="0" fontId="60" fillId="0" borderId="4" xfId="0" applyFont="1" applyBorder="1" applyAlignment="1">
      <alignment horizontal="center" vertical="top" wrapText="1"/>
    </xf>
    <xf numFmtId="0" fontId="60" fillId="0" borderId="4" xfId="0" applyFont="1" applyBorder="1" applyAlignment="1">
      <alignment horizontal="justify" vertical="top" wrapText="1"/>
    </xf>
    <xf numFmtId="0" fontId="27" fillId="0" borderId="4" xfId="0" applyFont="1" applyBorder="1" applyAlignment="1">
      <alignment horizontal="center" vertical="top"/>
    </xf>
    <xf numFmtId="0" fontId="17" fillId="0" borderId="4" xfId="0" applyFont="1" applyBorder="1" applyAlignment="1">
      <alignment horizontal="justify" vertical="top"/>
    </xf>
    <xf numFmtId="2" fontId="27" fillId="0" borderId="4" xfId="0" applyNumberFormat="1" applyFont="1" applyBorder="1" applyAlignment="1">
      <alignment horizontal="center" vertical="center" wrapText="1"/>
    </xf>
    <xf numFmtId="2" fontId="17" fillId="0" borderId="4" xfId="0" applyNumberFormat="1" applyFont="1" applyBorder="1" applyAlignment="1">
      <alignment horizontal="justify" vertical="top"/>
    </xf>
    <xf numFmtId="0" fontId="27" fillId="0" borderId="4" xfId="0" applyFont="1" applyBorder="1" applyAlignment="1">
      <alignment horizontal="center"/>
    </xf>
    <xf numFmtId="0" fontId="27" fillId="0" borderId="4" xfId="0" applyFont="1" applyBorder="1" applyAlignment="1">
      <alignment horizontal="left" vertical="center" wrapText="1"/>
    </xf>
    <xf numFmtId="0" fontId="48" fillId="0" borderId="0" xfId="0" applyFont="1" applyAlignment="1">
      <alignment horizontal="center" vertical="center"/>
    </xf>
    <xf numFmtId="0" fontId="17" fillId="0" borderId="4" xfId="0" applyFont="1" applyBorder="1" applyAlignment="1">
      <alignment horizontal="center" vertical="center"/>
    </xf>
    <xf numFmtId="2" fontId="27" fillId="0" borderId="4" xfId="0" applyNumberFormat="1" applyFont="1" applyBorder="1" applyAlignment="1">
      <alignment horizontal="center" vertical="center"/>
    </xf>
    <xf numFmtId="0" fontId="27" fillId="0" borderId="4" xfId="0" applyFont="1" applyBorder="1"/>
    <xf numFmtId="0" fontId="27" fillId="0" borderId="4" xfId="0" applyFont="1" applyBorder="1" applyAlignment="1">
      <alignment vertical="top"/>
    </xf>
    <xf numFmtId="0" fontId="48" fillId="0" borderId="4" xfId="0" applyFont="1" applyBorder="1" applyAlignment="1">
      <alignment horizontal="center" vertical="center"/>
    </xf>
    <xf numFmtId="164" fontId="27" fillId="0" borderId="4" xfId="0" applyNumberFormat="1" applyFont="1" applyBorder="1" applyAlignment="1">
      <alignment horizontal="center" vertical="center"/>
    </xf>
    <xf numFmtId="0" fontId="61" fillId="3" borderId="4" xfId="0" quotePrefix="1" applyFont="1" applyFill="1" applyBorder="1" applyAlignment="1">
      <alignment horizontal="center" vertical="center" wrapText="1"/>
    </xf>
    <xf numFmtId="0" fontId="62" fillId="3" borderId="4" xfId="0" applyFont="1" applyFill="1" applyBorder="1" applyAlignment="1">
      <alignment horizontal="justify" vertical="top" wrapText="1"/>
    </xf>
    <xf numFmtId="2" fontId="17" fillId="0" borderId="4" xfId="0" applyNumberFormat="1" applyFont="1" applyBorder="1" applyAlignment="1">
      <alignment horizontal="center" vertical="center" wrapText="1"/>
    </xf>
    <xf numFmtId="0" fontId="17" fillId="0" borderId="4" xfId="0" applyFont="1" applyBorder="1" applyAlignment="1">
      <alignment horizontal="center" vertical="center" wrapText="1"/>
    </xf>
    <xf numFmtId="2" fontId="63" fillId="0" borderId="4" xfId="0" applyNumberFormat="1" applyFont="1" applyBorder="1" applyAlignment="1">
      <alignment horizontal="center" vertical="center"/>
    </xf>
    <xf numFmtId="0" fontId="29" fillId="0" borderId="4" xfId="0" applyFont="1" applyBorder="1" applyAlignment="1">
      <alignment horizontal="left" vertical="top" wrapText="1"/>
    </xf>
    <xf numFmtId="0" fontId="10" fillId="0" borderId="0" xfId="0" applyFont="1"/>
    <xf numFmtId="0" fontId="57" fillId="0" borderId="0" xfId="0" applyFont="1"/>
    <xf numFmtId="0" fontId="64" fillId="3" borderId="4" xfId="0" quotePrefix="1" applyFont="1" applyFill="1" applyBorder="1" applyAlignment="1">
      <alignment horizontal="center" vertical="center" wrapText="1"/>
    </xf>
    <xf numFmtId="0" fontId="56" fillId="0" borderId="0" xfId="1" applyFont="1" applyAlignment="1">
      <alignment horizontal="justify" vertical="top" wrapText="1"/>
    </xf>
    <xf numFmtId="0" fontId="65" fillId="0" borderId="4" xfId="0" applyFont="1" applyBorder="1" applyAlignment="1">
      <alignment horizontal="center" vertical="top" wrapText="1"/>
    </xf>
    <xf numFmtId="0" fontId="65" fillId="0" borderId="4" xfId="0" applyFont="1" applyBorder="1" applyAlignment="1">
      <alignment horizontal="justify" vertical="top" wrapText="1"/>
    </xf>
    <xf numFmtId="2" fontId="65" fillId="0" borderId="4" xfId="0" applyNumberFormat="1" applyFont="1" applyBorder="1" applyAlignment="1">
      <alignment horizontal="center" vertical="center"/>
    </xf>
    <xf numFmtId="0" fontId="8" fillId="0" borderId="4" xfId="0" applyFont="1" applyBorder="1" applyAlignment="1">
      <alignment horizontal="center" vertical="center" wrapText="1"/>
    </xf>
    <xf numFmtId="0" fontId="9" fillId="0" borderId="4" xfId="0" applyFont="1" applyBorder="1" applyAlignment="1">
      <alignment horizontal="justify" vertical="center" wrapText="1"/>
    </xf>
    <xf numFmtId="0" fontId="9" fillId="0" borderId="4" xfId="0" applyFont="1" applyBorder="1" applyAlignment="1">
      <alignment horizontal="center" vertical="center" wrapText="1"/>
    </xf>
    <xf numFmtId="2" fontId="8" fillId="0" borderId="4" xfId="0" applyNumberFormat="1" applyFont="1" applyBorder="1" applyAlignment="1">
      <alignment horizontal="center" vertical="center" wrapText="1"/>
    </xf>
    <xf numFmtId="2" fontId="9" fillId="0" borderId="4" xfId="0" applyNumberFormat="1" applyFont="1" applyBorder="1" applyAlignment="1">
      <alignment horizontal="center" wrapText="1"/>
    </xf>
    <xf numFmtId="0" fontId="9" fillId="0" borderId="4" xfId="0" applyFont="1" applyBorder="1" applyAlignment="1">
      <alignment horizontal="center" wrapText="1"/>
    </xf>
    <xf numFmtId="2" fontId="8" fillId="0" borderId="4" xfId="0" applyNumberFormat="1" applyFont="1" applyBorder="1" applyAlignment="1">
      <alignment horizontal="center" wrapText="1"/>
    </xf>
    <xf numFmtId="0" fontId="9" fillId="0" borderId="4" xfId="0" applyFont="1" applyBorder="1" applyAlignment="1">
      <alignment horizontal="justify" vertical="top" wrapText="1"/>
    </xf>
    <xf numFmtId="0" fontId="45" fillId="0" borderId="4" xfId="0" applyFont="1" applyBorder="1" applyAlignment="1">
      <alignment horizontal="center" vertical="center" wrapText="1"/>
    </xf>
    <xf numFmtId="0" fontId="68" fillId="0" borderId="0" xfId="0" applyFont="1" applyAlignment="1">
      <alignment horizontal="justify" vertical="top" wrapText="1"/>
    </xf>
    <xf numFmtId="2" fontId="41" fillId="0" borderId="4" xfId="0" applyNumberFormat="1" applyFont="1" applyBorder="1" applyAlignment="1">
      <alignment horizontal="center" vertical="center" wrapText="1"/>
    </xf>
    <xf numFmtId="2" fontId="40" fillId="0" borderId="4" xfId="0" applyNumberFormat="1" applyFont="1" applyBorder="1" applyAlignment="1">
      <alignment horizontal="center" vertical="center"/>
    </xf>
    <xf numFmtId="0" fontId="41" fillId="0" borderId="4" xfId="0" applyFont="1" applyBorder="1" applyAlignment="1">
      <alignment horizontal="right" wrapText="1"/>
    </xf>
    <xf numFmtId="0" fontId="0" fillId="0" borderId="4" xfId="0" applyFont="1" applyBorder="1" applyAlignment="1">
      <alignment horizontal="justify" vertical="top" wrapText="1"/>
    </xf>
    <xf numFmtId="0" fontId="9" fillId="0" borderId="4" xfId="0" applyFont="1" applyBorder="1" applyAlignment="1">
      <alignment horizontal="justify" wrapText="1"/>
    </xf>
    <xf numFmtId="165" fontId="41" fillId="0" borderId="4" xfId="0" applyNumberFormat="1" applyFont="1" applyBorder="1" applyAlignment="1">
      <alignment horizontal="center" vertical="center" wrapText="1"/>
    </xf>
    <xf numFmtId="2" fontId="41" fillId="0" borderId="4" xfId="0" applyNumberFormat="1" applyFont="1" applyBorder="1" applyAlignment="1">
      <alignment horizontal="right" wrapText="1"/>
    </xf>
    <xf numFmtId="0" fontId="69" fillId="0" borderId="4" xfId="0" applyFont="1" applyBorder="1" applyAlignment="1">
      <alignment horizontal="justify" vertical="top" wrapText="1"/>
    </xf>
    <xf numFmtId="2" fontId="40" fillId="0" borderId="4" xfId="0" applyNumberFormat="1" applyFont="1" applyBorder="1" applyAlignment="1">
      <alignment horizontal="center" wrapText="1"/>
    </xf>
    <xf numFmtId="0" fontId="40" fillId="0" borderId="4" xfId="0" applyFont="1" applyBorder="1" applyAlignment="1">
      <alignment horizontal="center" wrapText="1"/>
    </xf>
    <xf numFmtId="2" fontId="41" fillId="0" borderId="4" xfId="0" applyNumberFormat="1" applyFont="1" applyBorder="1" applyAlignment="1">
      <alignment horizontal="center" wrapText="1"/>
    </xf>
    <xf numFmtId="0" fontId="9" fillId="0" borderId="4" xfId="0" applyFont="1" applyBorder="1" applyAlignment="1">
      <alignment horizontal="justify"/>
    </xf>
    <xf numFmtId="0" fontId="8" fillId="0" borderId="4" xfId="0" applyFont="1" applyBorder="1" applyAlignment="1">
      <alignment wrapText="1"/>
    </xf>
    <xf numFmtId="0" fontId="8" fillId="0" borderId="0" xfId="0" applyFont="1" applyBorder="1" applyAlignment="1">
      <alignment wrapText="1"/>
    </xf>
    <xf numFmtId="0" fontId="70" fillId="0" borderId="4" xfId="0" applyFont="1" applyBorder="1"/>
    <xf numFmtId="2" fontId="41" fillId="0" borderId="4" xfId="0" applyNumberFormat="1" applyFont="1" applyBorder="1" applyAlignment="1">
      <alignment horizontal="center"/>
    </xf>
    <xf numFmtId="2" fontId="41" fillId="0" borderId="4" xfId="2" applyNumberFormat="1" applyFont="1" applyBorder="1" applyAlignment="1">
      <alignment horizontal="center" vertical="center"/>
    </xf>
    <xf numFmtId="0" fontId="70" fillId="0" borderId="0" xfId="0" applyFont="1"/>
    <xf numFmtId="0" fontId="41" fillId="0" borderId="4" xfId="0" applyFont="1" applyBorder="1" applyAlignment="1">
      <alignment horizontal="center" vertical="center"/>
    </xf>
    <xf numFmtId="2" fontId="72" fillId="0" borderId="4" xfId="0" applyNumberFormat="1" applyFont="1" applyBorder="1" applyAlignment="1">
      <alignment horizontal="center"/>
    </xf>
    <xf numFmtId="0" fontId="41" fillId="0" borderId="0" xfId="0" applyFont="1" applyBorder="1" applyAlignment="1">
      <alignment horizontal="center" vertical="center"/>
    </xf>
    <xf numFmtId="2" fontId="72" fillId="0" borderId="0" xfId="0" applyNumberFormat="1" applyFont="1" applyBorder="1" applyAlignment="1">
      <alignment horizontal="center"/>
    </xf>
    <xf numFmtId="2" fontId="45" fillId="0" borderId="4" xfId="0" applyNumberFormat="1" applyFont="1" applyBorder="1" applyAlignment="1">
      <alignment horizontal="center" wrapText="1"/>
    </xf>
    <xf numFmtId="2" fontId="47" fillId="0" borderId="4" xfId="0" applyNumberFormat="1" applyFont="1" applyBorder="1" applyAlignment="1">
      <alignment horizontal="center"/>
    </xf>
    <xf numFmtId="0" fontId="45" fillId="0" borderId="4" xfId="0" applyFont="1" applyBorder="1" applyAlignment="1">
      <alignment horizontal="center" wrapText="1"/>
    </xf>
    <xf numFmtId="2" fontId="40" fillId="0" borderId="4" xfId="0" applyNumberFormat="1" applyFont="1" applyBorder="1" applyAlignment="1">
      <alignment horizontal="center"/>
    </xf>
    <xf numFmtId="0" fontId="41" fillId="0" borderId="4" xfId="0" applyFont="1" applyBorder="1" applyAlignment="1">
      <alignment horizontal="center" wrapText="1"/>
    </xf>
    <xf numFmtId="165" fontId="41" fillId="0" borderId="4" xfId="0" applyNumberFormat="1" applyFont="1" applyBorder="1" applyAlignment="1">
      <alignment horizontal="center" wrapText="1"/>
    </xf>
    <xf numFmtId="0" fontId="70" fillId="0" borderId="4" xfId="0" applyFont="1" applyBorder="1" applyAlignment="1"/>
    <xf numFmtId="2" fontId="41" fillId="0" borderId="4" xfId="2" applyNumberFormat="1" applyFont="1" applyBorder="1" applyAlignment="1">
      <alignment horizontal="center"/>
    </xf>
    <xf numFmtId="0" fontId="70" fillId="0" borderId="0" xfId="0" applyFont="1" applyAlignment="1"/>
    <xf numFmtId="0" fontId="41" fillId="0" borderId="4" xfId="0" applyFont="1" applyBorder="1" applyAlignment="1">
      <alignment horizontal="center"/>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45" fillId="0" borderId="4" xfId="0" applyFont="1" applyBorder="1" applyAlignment="1">
      <alignment horizontal="center" vertical="center"/>
    </xf>
    <xf numFmtId="0" fontId="45" fillId="0" borderId="1" xfId="0" applyFont="1" applyBorder="1" applyAlignment="1">
      <alignment horizontal="center"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15" fillId="0" borderId="4" xfId="0" applyFont="1" applyBorder="1" applyAlignment="1">
      <alignment horizontal="center" vertical="center" wrapText="1"/>
    </xf>
    <xf numFmtId="0" fontId="30" fillId="0" borderId="11" xfId="0" applyFont="1" applyBorder="1" applyAlignment="1">
      <alignment horizontal="center" vertical="top" wrapText="1"/>
    </xf>
    <xf numFmtId="0" fontId="30" fillId="0" borderId="8" xfId="0" applyFont="1" applyBorder="1" applyAlignment="1">
      <alignment horizontal="center" vertical="top" wrapText="1"/>
    </xf>
    <xf numFmtId="0" fontId="30" fillId="0" borderId="12" xfId="0" applyFont="1" applyBorder="1" applyAlignment="1">
      <alignment horizontal="center" vertical="top" wrapText="1"/>
    </xf>
    <xf numFmtId="0" fontId="30" fillId="0" borderId="10" xfId="0" applyFont="1" applyBorder="1" applyAlignment="1">
      <alignment horizontal="center" vertical="top" wrapText="1"/>
    </xf>
    <xf numFmtId="0" fontId="30" fillId="0" borderId="5" xfId="0" applyFont="1" applyBorder="1" applyAlignment="1">
      <alignment horizontal="center" vertical="top" wrapText="1"/>
    </xf>
    <xf numFmtId="0" fontId="30" fillId="0" borderId="7" xfId="0" applyFont="1" applyBorder="1" applyAlignment="1">
      <alignment horizontal="center" vertical="top"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1" fillId="0" borderId="4" xfId="0" applyFont="1" applyBorder="1" applyAlignment="1">
      <alignment horizontal="right" vertical="center" wrapText="1"/>
    </xf>
    <xf numFmtId="0" fontId="13" fillId="0" borderId="4" xfId="0" applyFont="1" applyBorder="1" applyAlignment="1">
      <alignment horizontal="center" vertical="center"/>
    </xf>
    <xf numFmtId="0" fontId="10" fillId="0" borderId="4" xfId="0" applyFont="1" applyBorder="1" applyAlignment="1">
      <alignment horizontal="center" vertical="center"/>
    </xf>
    <xf numFmtId="0" fontId="10" fillId="0" borderId="4" xfId="0" applyFont="1" applyBorder="1" applyAlignment="1">
      <alignment horizontal="center" vertical="center" wrapText="1"/>
    </xf>
    <xf numFmtId="0" fontId="0" fillId="0" borderId="0" xfId="0" applyAlignment="1">
      <alignment horizontal="center"/>
    </xf>
    <xf numFmtId="0" fontId="66" fillId="0" borderId="5" xfId="0" applyFont="1" applyBorder="1" applyAlignment="1">
      <alignment horizontal="center" vertical="center" wrapText="1"/>
    </xf>
    <xf numFmtId="0" fontId="41" fillId="0" borderId="4" xfId="0" applyFont="1" applyBorder="1" applyAlignment="1">
      <alignment horizontal="right" wrapText="1"/>
    </xf>
    <xf numFmtId="0" fontId="41" fillId="0" borderId="1" xfId="0" applyFont="1" applyBorder="1" applyAlignment="1">
      <alignment horizontal="right" wrapText="1"/>
    </xf>
    <xf numFmtId="0" fontId="41" fillId="0" borderId="3" xfId="0" applyFont="1" applyBorder="1" applyAlignment="1">
      <alignment horizontal="right" wrapText="1"/>
    </xf>
    <xf numFmtId="0" fontId="71" fillId="0" borderId="4" xfId="0" applyFont="1" applyBorder="1" applyAlignment="1">
      <alignment horizontal="center"/>
    </xf>
    <xf numFmtId="0" fontId="11" fillId="0" borderId="2" xfId="0" applyFont="1" applyBorder="1" applyAlignment="1">
      <alignment horizontal="right" vertical="top"/>
    </xf>
    <xf numFmtId="0" fontId="11" fillId="0" borderId="3" xfId="0" applyFont="1" applyBorder="1" applyAlignment="1">
      <alignment horizontal="right"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11" fillId="0" borderId="1" xfId="0" applyFont="1" applyBorder="1" applyAlignment="1">
      <alignment horizontal="right" vertical="top"/>
    </xf>
    <xf numFmtId="0" fontId="5" fillId="0" borderId="2" xfId="0" applyFont="1" applyBorder="1" applyAlignment="1">
      <alignment horizontal="right" vertical="top"/>
    </xf>
    <xf numFmtId="0" fontId="5" fillId="0" borderId="3" xfId="0" applyFont="1" applyBorder="1" applyAlignment="1">
      <alignment horizontal="right" vertical="top"/>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 xfId="0" applyFont="1" applyBorder="1" applyAlignment="1">
      <alignment horizontal="right" vertical="top"/>
    </xf>
    <xf numFmtId="0" fontId="22" fillId="0" borderId="1" xfId="0" applyFont="1" applyBorder="1" applyAlignment="1">
      <alignment horizontal="right"/>
    </xf>
    <xf numFmtId="0" fontId="22" fillId="0" borderId="2" xfId="0" applyFont="1" applyBorder="1" applyAlignment="1">
      <alignment horizontal="right"/>
    </xf>
    <xf numFmtId="0" fontId="22" fillId="0" borderId="3" xfId="0" applyFont="1" applyBorder="1" applyAlignment="1">
      <alignment horizontal="right"/>
    </xf>
    <xf numFmtId="0" fontId="18" fillId="0" borderId="0" xfId="0" applyFont="1" applyAlignment="1">
      <alignment horizontal="center" vertical="center"/>
    </xf>
    <xf numFmtId="0" fontId="18" fillId="2" borderId="5" xfId="0" applyFont="1" applyFill="1" applyBorder="1" applyAlignment="1">
      <alignment horizontal="center"/>
    </xf>
    <xf numFmtId="0" fontId="30" fillId="0" borderId="5" xfId="0" applyFont="1" applyBorder="1" applyAlignment="1">
      <alignment vertical="top" wrapText="1"/>
    </xf>
    <xf numFmtId="0" fontId="21" fillId="0" borderId="1" xfId="0" applyFont="1" applyBorder="1" applyAlignment="1">
      <alignment horizontal="right" wrapText="1"/>
    </xf>
    <xf numFmtId="0" fontId="21" fillId="0" borderId="2" xfId="0" applyFont="1" applyBorder="1" applyAlignment="1">
      <alignment horizontal="right" wrapText="1"/>
    </xf>
    <xf numFmtId="0" fontId="21" fillId="0" borderId="3" xfId="0" applyFont="1" applyBorder="1" applyAlignment="1">
      <alignment horizontal="right" wrapText="1"/>
    </xf>
    <xf numFmtId="0" fontId="21" fillId="0" borderId="1" xfId="0" applyFont="1" applyBorder="1" applyAlignment="1">
      <alignment horizontal="right"/>
    </xf>
    <xf numFmtId="0" fontId="21" fillId="0" borderId="3" xfId="0" applyFont="1" applyBorder="1" applyAlignment="1">
      <alignment horizontal="right"/>
    </xf>
    <xf numFmtId="0" fontId="16" fillId="0" borderId="4" xfId="0" applyFont="1" applyBorder="1" applyAlignment="1">
      <alignment horizontal="center" vertical="center" wrapText="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47" fillId="0" borderId="4" xfId="0" applyFont="1" applyBorder="1" applyAlignment="1">
      <alignment horizontal="left" vertical="top" wrapText="1"/>
    </xf>
    <xf numFmtId="0" fontId="21" fillId="0" borderId="4" xfId="0" applyFont="1" applyBorder="1" applyAlignment="1">
      <alignment horizontal="right"/>
    </xf>
    <xf numFmtId="0" fontId="21" fillId="0" borderId="2" xfId="0" applyFont="1" applyBorder="1" applyAlignment="1">
      <alignment horizontal="right"/>
    </xf>
    <xf numFmtId="0" fontId="21" fillId="0" borderId="1" xfId="0" applyFont="1" applyBorder="1" applyAlignment="1">
      <alignment horizontal="right" vertical="top"/>
    </xf>
    <xf numFmtId="0" fontId="21" fillId="0" borderId="2" xfId="0" applyFont="1" applyBorder="1" applyAlignment="1">
      <alignment horizontal="right" vertical="top"/>
    </xf>
    <xf numFmtId="0" fontId="21" fillId="0" borderId="3" xfId="0" applyFont="1" applyBorder="1" applyAlignment="1">
      <alignment horizontal="right" vertical="top"/>
    </xf>
    <xf numFmtId="0" fontId="46" fillId="0" borderId="0" xfId="0" applyFont="1"/>
    <xf numFmtId="0" fontId="18" fillId="0" borderId="0" xfId="0" applyFont="1" applyAlignment="1">
      <alignment horizontal="center"/>
    </xf>
    <xf numFmtId="0" fontId="23" fillId="0" borderId="5" xfId="0" applyFont="1" applyBorder="1" applyAlignment="1">
      <alignment horizontal="left" vertical="center" wrapText="1"/>
    </xf>
    <xf numFmtId="0" fontId="23" fillId="0" borderId="7" xfId="0" applyFont="1" applyBorder="1" applyAlignment="1">
      <alignment horizontal="left" vertical="center" wrapText="1"/>
    </xf>
    <xf numFmtId="0" fontId="15" fillId="0" borderId="1" xfId="0" applyFont="1" applyBorder="1" applyAlignment="1">
      <alignment horizontal="right" vertical="top"/>
    </xf>
    <xf numFmtId="0" fontId="15" fillId="0" borderId="2" xfId="0" applyFont="1" applyBorder="1" applyAlignment="1">
      <alignment horizontal="right" vertical="top"/>
    </xf>
    <xf numFmtId="0" fontId="15" fillId="0" borderId="3" xfId="0" applyFont="1" applyBorder="1" applyAlignment="1">
      <alignment horizontal="right" vertical="top"/>
    </xf>
    <xf numFmtId="0" fontId="16" fillId="0" borderId="0" xfId="0" applyFont="1" applyAlignment="1">
      <alignment horizontal="center" vertical="center" wrapText="1"/>
    </xf>
    <xf numFmtId="0" fontId="18" fillId="2" borderId="5" xfId="0" applyFont="1" applyFill="1" applyBorder="1" applyAlignment="1">
      <alignment horizontal="center" vertical="center"/>
    </xf>
    <xf numFmtId="0" fontId="19" fillId="0" borderId="5" xfId="0" applyFont="1" applyBorder="1" applyAlignment="1">
      <alignment horizontal="left" vertical="center" wrapText="1"/>
    </xf>
    <xf numFmtId="0" fontId="30" fillId="0" borderId="4" xfId="0" applyFont="1" applyBorder="1" applyAlignment="1">
      <alignment horizontal="left" vertical="top" wrapText="1"/>
    </xf>
    <xf numFmtId="0" fontId="18" fillId="2" borderId="0" xfId="0" applyFont="1" applyFill="1" applyAlignment="1">
      <alignment horizontal="center" vertical="center"/>
    </xf>
  </cellXfs>
  <cellStyles count="3">
    <cellStyle name="Comma" xfId="2" builtinId="3"/>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42" Type="http://schemas.openxmlformats.org/officeDocument/2006/relationships/externalLink" Target="externalLinks/externalLink13.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externalLink" Target="externalLinks/externalLink9.xml"/><Relationship Id="rId46" Type="http://schemas.openxmlformats.org/officeDocument/2006/relationships/externalLink" Target="externalLinks/externalLink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externalLink" Target="externalLinks/externalLink11.xml"/><Relationship Id="rId45" Type="http://schemas.openxmlformats.org/officeDocument/2006/relationships/externalLink" Target="externalLinks/externalLink1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4"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 Id="rId43" Type="http://schemas.openxmlformats.org/officeDocument/2006/relationships/externalLink" Target="externalLinks/externalLink14.xml"/><Relationship Id="rId48"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104775</xdr:rowOff>
    </xdr:from>
    <xdr:to>
      <xdr:col>1</xdr:col>
      <xdr:colOff>609600</xdr:colOff>
      <xdr:row>0</xdr:row>
      <xdr:rowOff>700183</xdr:rowOff>
    </xdr:to>
    <xdr:pic>
      <xdr:nvPicPr>
        <xdr:cNvPr id="2" name="Picture 1">
          <a:extLst>
            <a:ext uri="{FF2B5EF4-FFF2-40B4-BE49-F238E27FC236}">
              <a16:creationId xmlns="" xmlns:a16="http://schemas.microsoft.com/office/drawing/2014/main" id="{B49AE993-514A-4FD2-8E36-05FBF1399E8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23900" y="104775"/>
          <a:ext cx="581025" cy="595408"/>
        </a:xfrm>
        <a:prstGeom prst="rect">
          <a:avLst/>
        </a:prstGeom>
      </xdr:spPr>
    </xdr:pic>
    <xdr:clientData/>
  </xdr:twoCellAnchor>
  <xdr:twoCellAnchor editAs="oneCell">
    <xdr:from>
      <xdr:col>4</xdr:col>
      <xdr:colOff>400051</xdr:colOff>
      <xdr:row>0</xdr:row>
      <xdr:rowOff>47626</xdr:rowOff>
    </xdr:from>
    <xdr:to>
      <xdr:col>5</xdr:col>
      <xdr:colOff>116601</xdr:colOff>
      <xdr:row>0</xdr:row>
      <xdr:rowOff>695326</xdr:rowOff>
    </xdr:to>
    <xdr:pic>
      <xdr:nvPicPr>
        <xdr:cNvPr id="3" name="Picture 2" descr="RMC_LOGO.jpg">
          <a:extLst>
            <a:ext uri="{FF2B5EF4-FFF2-40B4-BE49-F238E27FC236}">
              <a16:creationId xmlns="" xmlns:a16="http://schemas.microsoft.com/office/drawing/2014/main" id="{949DA627-6A5E-4727-AFD0-0A4F7E427826}"/>
            </a:ext>
          </a:extLst>
        </xdr:cNvPr>
        <xdr:cNvPicPr>
          <a:picLocks noChangeAspect="1"/>
        </xdr:cNvPicPr>
      </xdr:nvPicPr>
      <xdr:blipFill>
        <a:blip xmlns:r="http://schemas.openxmlformats.org/officeDocument/2006/relationships" r:embed="rId2" cstate="print"/>
        <a:stretch>
          <a:fillRect/>
        </a:stretch>
      </xdr:blipFill>
      <xdr:spPr>
        <a:xfrm>
          <a:off x="5057776" y="47626"/>
          <a:ext cx="611900"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0</xdr:row>
      <xdr:rowOff>104775</xdr:rowOff>
    </xdr:from>
    <xdr:to>
      <xdr:col>1</xdr:col>
      <xdr:colOff>609600</xdr:colOff>
      <xdr:row>0</xdr:row>
      <xdr:rowOff>700183</xdr:rowOff>
    </xdr:to>
    <xdr:pic>
      <xdr:nvPicPr>
        <xdr:cNvPr id="2" name="Picture 1">
          <a:extLst>
            <a:ext uri="{FF2B5EF4-FFF2-40B4-BE49-F238E27FC236}">
              <a16:creationId xmlns="" xmlns:a16="http://schemas.microsoft.com/office/drawing/2014/main" id="{F82E401C-C5A9-4A7B-840F-B87AE1D1127E}"/>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23900" y="104775"/>
          <a:ext cx="581025" cy="595408"/>
        </a:xfrm>
        <a:prstGeom prst="rect">
          <a:avLst/>
        </a:prstGeom>
      </xdr:spPr>
    </xdr:pic>
    <xdr:clientData/>
  </xdr:twoCellAnchor>
  <xdr:twoCellAnchor editAs="oneCell">
    <xdr:from>
      <xdr:col>4</xdr:col>
      <xdr:colOff>400051</xdr:colOff>
      <xdr:row>0</xdr:row>
      <xdr:rowOff>47626</xdr:rowOff>
    </xdr:from>
    <xdr:to>
      <xdr:col>5</xdr:col>
      <xdr:colOff>116601</xdr:colOff>
      <xdr:row>0</xdr:row>
      <xdr:rowOff>695326</xdr:rowOff>
    </xdr:to>
    <xdr:pic>
      <xdr:nvPicPr>
        <xdr:cNvPr id="3" name="Picture 2" descr="RMC_LOGO.jpg">
          <a:extLst>
            <a:ext uri="{FF2B5EF4-FFF2-40B4-BE49-F238E27FC236}">
              <a16:creationId xmlns="" xmlns:a16="http://schemas.microsoft.com/office/drawing/2014/main" id="{58991B41-5C03-49F7-8DD9-2DF545B803D1}"/>
            </a:ext>
          </a:extLst>
        </xdr:cNvPr>
        <xdr:cNvPicPr>
          <a:picLocks noChangeAspect="1"/>
        </xdr:cNvPicPr>
      </xdr:nvPicPr>
      <xdr:blipFill>
        <a:blip xmlns:r="http://schemas.openxmlformats.org/officeDocument/2006/relationships" r:embed="rId2" cstate="print"/>
        <a:stretch>
          <a:fillRect/>
        </a:stretch>
      </xdr:blipFill>
      <xdr:spPr>
        <a:xfrm>
          <a:off x="5057776" y="47626"/>
          <a:ext cx="611900"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104775</xdr:colOff>
      <xdr:row>0</xdr:row>
      <xdr:rowOff>104775</xdr:rowOff>
    </xdr:from>
    <xdr:to>
      <xdr:col>1</xdr:col>
      <xdr:colOff>609600</xdr:colOff>
      <xdr:row>0</xdr:row>
      <xdr:rowOff>700183</xdr:rowOff>
    </xdr:to>
    <xdr:pic>
      <xdr:nvPicPr>
        <xdr:cNvPr id="2" name="Picture 1">
          <a:extLst>
            <a:ext uri="{FF2B5EF4-FFF2-40B4-BE49-F238E27FC236}">
              <a16:creationId xmlns="" xmlns:a16="http://schemas.microsoft.com/office/drawing/2014/main" id="{FB3130E2-8CAD-41C2-97EE-8B4424A844BA}"/>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23900" y="104775"/>
          <a:ext cx="581025" cy="595408"/>
        </a:xfrm>
        <a:prstGeom prst="rect">
          <a:avLst/>
        </a:prstGeom>
      </xdr:spPr>
    </xdr:pic>
    <xdr:clientData/>
  </xdr:twoCellAnchor>
  <xdr:twoCellAnchor editAs="oneCell">
    <xdr:from>
      <xdr:col>4</xdr:col>
      <xdr:colOff>400051</xdr:colOff>
      <xdr:row>0</xdr:row>
      <xdr:rowOff>47626</xdr:rowOff>
    </xdr:from>
    <xdr:to>
      <xdr:col>5</xdr:col>
      <xdr:colOff>116601</xdr:colOff>
      <xdr:row>0</xdr:row>
      <xdr:rowOff>695326</xdr:rowOff>
    </xdr:to>
    <xdr:pic>
      <xdr:nvPicPr>
        <xdr:cNvPr id="3" name="Picture 2" descr="RMC_LOGO.jpg">
          <a:extLst>
            <a:ext uri="{FF2B5EF4-FFF2-40B4-BE49-F238E27FC236}">
              <a16:creationId xmlns="" xmlns:a16="http://schemas.microsoft.com/office/drawing/2014/main" id="{A80F1D36-21BE-4D17-8A79-44397DACA116}"/>
            </a:ext>
          </a:extLst>
        </xdr:cNvPr>
        <xdr:cNvPicPr>
          <a:picLocks noChangeAspect="1"/>
        </xdr:cNvPicPr>
      </xdr:nvPicPr>
      <xdr:blipFill>
        <a:blip xmlns:r="http://schemas.openxmlformats.org/officeDocument/2006/relationships" r:embed="rId2" cstate="print"/>
        <a:stretch>
          <a:fillRect/>
        </a:stretch>
      </xdr:blipFill>
      <xdr:spPr>
        <a:xfrm>
          <a:off x="5057776" y="47626"/>
          <a:ext cx="611900" cy="647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104775</xdr:colOff>
      <xdr:row>0</xdr:row>
      <xdr:rowOff>104775</xdr:rowOff>
    </xdr:from>
    <xdr:to>
      <xdr:col>1</xdr:col>
      <xdr:colOff>609600</xdr:colOff>
      <xdr:row>0</xdr:row>
      <xdr:rowOff>700183</xdr:rowOff>
    </xdr:to>
    <xdr:pic>
      <xdr:nvPicPr>
        <xdr:cNvPr id="2" name="Picture 1">
          <a:extLst>
            <a:ext uri="{FF2B5EF4-FFF2-40B4-BE49-F238E27FC236}">
              <a16:creationId xmlns="" xmlns:a16="http://schemas.microsoft.com/office/drawing/2014/main" id="{9AB3E715-7AE8-4FB6-9501-EA3DA00E7A0D}"/>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23900" y="104775"/>
          <a:ext cx="581025" cy="595408"/>
        </a:xfrm>
        <a:prstGeom prst="rect">
          <a:avLst/>
        </a:prstGeom>
      </xdr:spPr>
    </xdr:pic>
    <xdr:clientData/>
  </xdr:twoCellAnchor>
  <xdr:twoCellAnchor editAs="oneCell">
    <xdr:from>
      <xdr:col>4</xdr:col>
      <xdr:colOff>400051</xdr:colOff>
      <xdr:row>0</xdr:row>
      <xdr:rowOff>47626</xdr:rowOff>
    </xdr:from>
    <xdr:to>
      <xdr:col>5</xdr:col>
      <xdr:colOff>116601</xdr:colOff>
      <xdr:row>0</xdr:row>
      <xdr:rowOff>695326</xdr:rowOff>
    </xdr:to>
    <xdr:pic>
      <xdr:nvPicPr>
        <xdr:cNvPr id="3" name="Picture 2" descr="RMC_LOGO.jpg">
          <a:extLst>
            <a:ext uri="{FF2B5EF4-FFF2-40B4-BE49-F238E27FC236}">
              <a16:creationId xmlns="" xmlns:a16="http://schemas.microsoft.com/office/drawing/2014/main" id="{2F40DD50-4BB2-4462-A4E3-24E195F63E78}"/>
            </a:ext>
          </a:extLst>
        </xdr:cNvPr>
        <xdr:cNvPicPr>
          <a:picLocks noChangeAspect="1"/>
        </xdr:cNvPicPr>
      </xdr:nvPicPr>
      <xdr:blipFill>
        <a:blip xmlns:r="http://schemas.openxmlformats.org/officeDocument/2006/relationships" r:embed="rId2" cstate="print"/>
        <a:stretch>
          <a:fillRect/>
        </a:stretch>
      </xdr:blipFill>
      <xdr:spPr>
        <a:xfrm>
          <a:off x="5057776" y="47626"/>
          <a:ext cx="611900" cy="647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AJESH%20SIR/ESTIMATE%202022%20NEW%20-%20ward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dmin/Downloads/chaina%20gali.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WARD-24\(4)%20RCC%20PATEL%20COM%20RAJAN%20MISHRA-2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WARD-24\(2)%20PCC%20PATEL%20COMPOUND%20SHIMPU-2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abbas%20BOQ/New%20folder/Cahnkay%20Rajeev.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bbas%20BOQ/New%20folder/Argora%20Than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abbas%20BOQ/New%20folder/Pratham%20Apr.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abbas%20BOQ/New%20folder/Tongri%20Tol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abbas%20BOQ/New%20folder/Shivajee%20La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AJESH%20SIR/ESTIMATE%202022%20NEW%20-%20ward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ARD%20-06/DRAIN/RCC%20DRain%20bandhgari%20pul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Y%20MAYOR/W-06/RCC%20DRain%20Bandhgari%20road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ARD%20-06/DRAIN/RCC%20DRain%20Shiv%20mandir%20gal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ARD%20-07/ROAD/PCC%20ROAD%20gadigaon%20Pahantoli%20kuwar%20rund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ARD%20-07/Sarna%20Sthal(AutoRecovere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ARD-09/DRAIN/PAVER%20BLOCK%20Tiri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ARD-09/DRAIN/RCC%20DRain%20Jora%20Talab%20new%20Tower%20Gal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CC ROAD"/>
      <sheetName val="PCC Material"/>
      <sheetName val="RCC DRAIN"/>
      <sheetName val="Drain Material"/>
      <sheetName val="comp"/>
      <sheetName val="comp mat"/>
      <sheetName val="Abstract"/>
      <sheetName val="Dy. Mayor"/>
      <sheetName val="Dy. Mat"/>
      <sheetName val="File"/>
      <sheetName val="w2 MUMTAZ"/>
      <sheetName val="mat2"/>
      <sheetName val="W2 JOGO"/>
      <sheetName val="MAT JOGO"/>
      <sheetName val="ADALHATU RD5"/>
      <sheetName val="RD5 MAT"/>
      <sheetName val="Big Drain"/>
      <sheetName val="big mat"/>
      <sheetName val="W5 DRAIN"/>
      <sheetName val="W5 MAT"/>
      <sheetName val="Drain5"/>
      <sheetName val="w5mat"/>
      <sheetName val="ward 5 final"/>
      <sheetName val="final mat"/>
      <sheetName val="Sheet1"/>
      <sheetName val="w9"/>
      <sheetName val="PCC Material (2)"/>
      <sheetName val="AKHRA SHED MANCH"/>
      <sheetName val="SHED MANCH MAT"/>
      <sheetName val="Sarna Colony"/>
      <sheetName val="sarna mat"/>
      <sheetName val="krishna nagar"/>
      <sheetName val="krishna mat"/>
      <sheetName val="PUCHKA"/>
      <sheetName val="PUCHKA MAT"/>
      <sheetName val="GANPATI"/>
      <sheetName val="GANPATI MAT"/>
      <sheetName val="DEVI MANDAP"/>
      <sheetName val="DEVI MAT"/>
      <sheetName val="SINDWAR"/>
      <sheetName val="SINDWAR MAT"/>
      <sheetName val="SIND KARAM"/>
      <sheetName val="KARAM MAT"/>
      <sheetName val="SEEMA"/>
      <sheetName val="SEEMA MAT"/>
      <sheetName val="NEW RAJDHANI"/>
      <sheetName val="NEW RAJ MAT"/>
      <sheetName val="JAYANT"/>
      <sheetName val="JAYANT BOQ"/>
      <sheetName val="JAYANT MAT"/>
      <sheetName val="TIMBER GALI"/>
      <sheetName val="TIMBER GALI BOQ"/>
      <sheetName val="TIMBER MAT"/>
      <sheetName val="RADHA MUNDA"/>
      <sheetName val="RADHA MAT"/>
      <sheetName val="JAY RAM"/>
      <sheetName val="JAY RAM MAT"/>
      <sheetName val="AK SINGH"/>
      <sheetName val="AK SINGH BOQ"/>
      <sheetName val="AK MAT"/>
      <sheetName val="BRAHMCHARI"/>
      <sheetName val="BRAHMCHARI MAT"/>
      <sheetName val="SARODAY NAGAR ROAD"/>
      <sheetName val="SARODAY MAT"/>
      <sheetName val="DAV"/>
      <sheetName val="DAV MAT"/>
      <sheetName val="SE SIR"/>
      <sheetName val="SE SIR MAT"/>
      <sheetName val="Adv Anil"/>
      <sheetName val="ado mat"/>
      <sheetName val="Anil Adv BOQ"/>
      <sheetName val="SARODAY BOQ"/>
      <sheetName val="TIKLI TOLA BOQ"/>
      <sheetName val="SANJAY"/>
      <sheetName val="SANJAY MAT"/>
      <sheetName val="Satyendra narayan"/>
      <sheetName val="Satyendra ma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ow r="7">
          <cell r="G7">
            <v>74.341546304163117</v>
          </cell>
        </row>
      </sheetData>
      <sheetData sheetId="67">
        <row r="7">
          <cell r="F7">
            <v>21.311243273860093</v>
          </cell>
        </row>
      </sheetData>
      <sheetData sheetId="68">
        <row r="11">
          <cell r="I11">
            <v>347.85</v>
          </cell>
        </row>
      </sheetData>
      <sheetData sheetId="69"/>
      <sheetData sheetId="70"/>
      <sheetData sheetId="71"/>
      <sheetData sheetId="72"/>
      <sheetData sheetId="73"/>
      <sheetData sheetId="74"/>
      <sheetData sheetId="75"/>
      <sheetData sheetId="76"/>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sheetData sheetId="1">
        <row r="9">
          <cell r="F9">
            <v>3.25</v>
          </cell>
          <cell r="G9">
            <v>19.010000000000002</v>
          </cell>
          <cell r="H9">
            <v>38.01</v>
          </cell>
          <cell r="J9">
            <v>6.54</v>
          </cell>
          <cell r="K9">
            <v>28.22</v>
          </cell>
        </row>
      </sheetData>
      <sheetData sheetId="2"/>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ESTIMATE"/>
      <sheetName val="MAT-SLAB"/>
      <sheetName val="BOQ"/>
      <sheetName val="MATERIAL "/>
    </sheetNames>
    <sheetDataSet>
      <sheetData sheetId="0">
        <row r="2">
          <cell r="A2" t="str">
            <v>Name of Work :-CONSTRUCTION OF RCC DRAIN AT PATEL COMPOUND FROM RAJAN MISHRA HOUSE TO UMESH SINGH HOUSE AND SHIMPU GUPTA HOUSE TO HANUMAN MANDIR UNDER WARD NO-24</v>
          </cell>
        </row>
        <row r="4">
          <cell r="A4">
            <v>1</v>
          </cell>
          <cell r="B4" t="str">
            <v>Labour for site clearence before and after the work etc.</v>
          </cell>
          <cell r="G4">
            <v>2</v>
          </cell>
          <cell r="I4">
            <v>326.85000000000002</v>
          </cell>
        </row>
        <row r="5">
          <cell r="A5" t="str">
            <v>2       5.1.1.</v>
          </cell>
        </row>
        <row r="8">
          <cell r="G8">
            <v>42.34</v>
          </cell>
          <cell r="I8">
            <v>151.82</v>
          </cell>
        </row>
        <row r="9">
          <cell r="A9" t="str">
            <v>3.       5.1.10</v>
          </cell>
        </row>
        <row r="12">
          <cell r="G12">
            <v>3.96</v>
          </cell>
          <cell r="I12">
            <v>589.51</v>
          </cell>
        </row>
        <row r="13">
          <cell r="A13" t="str">
            <v>4.       5.6.8 (C.I.W.)</v>
          </cell>
        </row>
        <row r="16">
          <cell r="G16">
            <v>6.66</v>
          </cell>
          <cell r="I16">
            <v>1756.4</v>
          </cell>
        </row>
        <row r="17">
          <cell r="A17" t="str">
            <v>5.                                    5.3.10</v>
          </cell>
          <cell r="B17" t="str">
            <v xml:space="preserve">Reinforced cement concrete work in walls (any thickness),including  attached pilasters, buttresses, plinth and string courses, fillets, columns,pillars, piers, abutments, posts and struts etc.above plinth level upto to five level, excluding the cost of centering, shuttering, finishing and reinforcement  with 1:1½:3 (1 cemet : 1½ coarse sand (zone-iii) : 3 graded stone aggregate 20mm nominal size ) </v>
          </cell>
        </row>
        <row r="21">
          <cell r="G21">
            <v>19.82</v>
          </cell>
          <cell r="I21">
            <v>6082.45</v>
          </cell>
        </row>
        <row r="22">
          <cell r="A22" t="str">
            <v>6                  5.3.11</v>
          </cell>
          <cell r="B22" t="str">
            <v xml:space="preserve">Reinforced cement concrete work in beam, suspended floors, roofs having slope up to 15° landing,balconies,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v>
          </cell>
        </row>
        <row r="25">
          <cell r="G25">
            <v>7.93</v>
          </cell>
          <cell r="I25">
            <v>6308.87</v>
          </cell>
        </row>
        <row r="26">
          <cell r="A26">
            <v>7</v>
          </cell>
          <cell r="B26" t="str">
            <v xml:space="preserve">Providing  Tor steel reinforcement of 8mm, 10mm, 12mm, and 16mm dia rods bars as per approved design and drawing with cutting,bending and binding with annealed wire with cost of wire,removal of rust,placing the rods in position (excluding carriage of bars to work site), all complete as per building specification and direction of E/I. TMT Fe 500 (only valid for SAIL and TATA steel,JSPL,Electro steel Ltd Bokaro and Vizag (RINL) </v>
          </cell>
        </row>
        <row r="30">
          <cell r="G30">
            <v>1.02</v>
          </cell>
          <cell r="H30" t="str">
            <v>MT</v>
          </cell>
          <cell r="I30">
            <v>83314.02</v>
          </cell>
        </row>
        <row r="34">
          <cell r="G34">
            <v>1.25</v>
          </cell>
          <cell r="H34" t="str">
            <v>MT</v>
          </cell>
          <cell r="I34">
            <v>82096.539999999994</v>
          </cell>
        </row>
        <row r="35">
          <cell r="A35" t="str">
            <v>8                 5.3.17.1</v>
          </cell>
          <cell r="B35" t="str">
            <v>Centering and shuttering including strutting, propping etc. and removal of from for Foundations,footings, bases of columns, etc. for mass concrete.</v>
          </cell>
        </row>
        <row r="38">
          <cell r="G38">
            <v>78.069999999999993</v>
          </cell>
          <cell r="I38">
            <v>194.5</v>
          </cell>
        </row>
        <row r="39">
          <cell r="A39">
            <v>9</v>
          </cell>
        </row>
        <row r="40">
          <cell r="B40" t="str">
            <v>SAND -LEAD-49KM</v>
          </cell>
          <cell r="I40">
            <v>848.82</v>
          </cell>
        </row>
        <row r="41">
          <cell r="B41" t="str">
            <v>LOCAL SAND-LEAD-18KM</v>
          </cell>
          <cell r="I41">
            <v>387.54</v>
          </cell>
        </row>
        <row r="42">
          <cell r="B42" t="str">
            <v>STONE CHIPS-LEAD-22KM</v>
          </cell>
          <cell r="I42">
            <v>447.06</v>
          </cell>
        </row>
        <row r="43">
          <cell r="B43" t="str">
            <v>BOULDER-LEAD-36KM</v>
          </cell>
          <cell r="I43">
            <v>679.66</v>
          </cell>
        </row>
        <row r="44">
          <cell r="B44" t="str">
            <v>EARTH-LEAD-01KM</v>
          </cell>
          <cell r="I44">
            <v>117.54</v>
          </cell>
        </row>
      </sheetData>
      <sheetData sheetId="1"/>
      <sheetData sheetId="2"/>
      <sheetData sheetId="3">
        <row r="7">
          <cell r="F7">
            <v>11.93</v>
          </cell>
          <cell r="G7">
            <v>3.96</v>
          </cell>
          <cell r="H7">
            <v>23.87</v>
          </cell>
          <cell r="I7">
            <v>6.66</v>
          </cell>
          <cell r="J7">
            <v>42.34</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efreshError="1">
        <row r="2">
          <cell r="A2" t="str">
            <v>Name of Work :-CONSTRUCTION OF PCC ROAD AT PATEL COMPOUND FROM SHIPU GUPTA HOUSE TO HANUMAN MANDIR UNDER WARD NO-24</v>
          </cell>
        </row>
        <row r="4">
          <cell r="A4">
            <v>1</v>
          </cell>
          <cell r="B4" t="str">
            <v>Labour for site clearence before and after the work etc.</v>
          </cell>
          <cell r="G4">
            <v>1</v>
          </cell>
          <cell r="H4" t="str">
            <v>Nos.</v>
          </cell>
          <cell r="I4">
            <v>326.85000000000002</v>
          </cell>
        </row>
        <row r="5">
          <cell r="A5" t="str">
            <v>2.     5.3.1.1</v>
          </cell>
          <cell r="B5" t="str">
            <v xml:space="preserve">Providing and laying in position concrete of specified grade excluding the cost of centering and shuttering- All work upto plinth level : 1:1½:3 (1 cemet : 1½ coarse sand (zone-iii) : 3 graded stone aggregate 20mm nominal size )  </v>
          </cell>
        </row>
        <row r="9">
          <cell r="G9">
            <v>17.84</v>
          </cell>
          <cell r="I9">
            <v>4961.7299999999996</v>
          </cell>
        </row>
        <row r="10">
          <cell r="A10" t="str">
            <v>3               5.3.17.1</v>
          </cell>
          <cell r="B10" t="str">
            <v>Centering and shuttering including strutting, propping etc. and removal of from for Foundations,footings, bases of columns, etc. for mass concrete.</v>
          </cell>
        </row>
        <row r="13">
          <cell r="G13">
            <v>11.15</v>
          </cell>
          <cell r="I13">
            <v>194.5</v>
          </cell>
        </row>
        <row r="14">
          <cell r="A14">
            <v>4</v>
          </cell>
          <cell r="B14" t="str">
            <v>CARRIAGE OF MATERIALS</v>
          </cell>
        </row>
        <row r="15">
          <cell r="A15" t="str">
            <v>(i)</v>
          </cell>
          <cell r="B15" t="str">
            <v>SAND-LEAD-42KM</v>
          </cell>
          <cell r="G15">
            <v>7.67</v>
          </cell>
          <cell r="I15">
            <v>744.66</v>
          </cell>
        </row>
        <row r="16">
          <cell r="A16" t="str">
            <v>(iii)</v>
          </cell>
          <cell r="B16" t="str">
            <v>STONE CHIPS-LEAD-15KM</v>
          </cell>
          <cell r="G16">
            <v>15.34</v>
          </cell>
          <cell r="I16">
            <v>342.9</v>
          </cell>
        </row>
      </sheetData>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
          <cell r="G7">
            <v>3.3276692155196828</v>
          </cell>
        </row>
        <row r="11">
          <cell r="G11">
            <v>66.738226722052119</v>
          </cell>
        </row>
        <row r="15">
          <cell r="G15">
            <v>5.27</v>
          </cell>
        </row>
        <row r="19">
          <cell r="G19">
            <v>8.7899999999999991</v>
          </cell>
        </row>
        <row r="24">
          <cell r="G24">
            <v>7.12</v>
          </cell>
        </row>
        <row r="28">
          <cell r="G28">
            <v>22.184460549419427</v>
          </cell>
        </row>
        <row r="32">
          <cell r="G32">
            <v>136.50092936802974</v>
          </cell>
        </row>
        <row r="36">
          <cell r="G36">
            <v>2.87</v>
          </cell>
        </row>
        <row r="40">
          <cell r="G40">
            <v>0.253</v>
          </cell>
        </row>
        <row r="45">
          <cell r="G45">
            <v>19.34</v>
          </cell>
        </row>
      </sheetData>
      <sheetData sheetId="1">
        <row r="11">
          <cell r="E11">
            <v>5.27</v>
          </cell>
          <cell r="F11">
            <v>17.41</v>
          </cell>
          <cell r="G11">
            <v>8.9</v>
          </cell>
          <cell r="H11">
            <v>30.974460549419426</v>
          </cell>
          <cell r="I11">
            <v>66.738226722052119</v>
          </cell>
        </row>
      </sheetData>
      <sheetData sheetId="2"/>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Sheet2"/>
      <sheetName val="Sheet3"/>
      <sheetName val="Sheet4"/>
    </sheetNames>
    <sheetDataSet>
      <sheetData sheetId="0">
        <row r="7">
          <cell r="G7">
            <v>47.58</v>
          </cell>
        </row>
        <row r="11">
          <cell r="G11">
            <v>23.790000000000003</v>
          </cell>
        </row>
        <row r="16">
          <cell r="G16">
            <v>60.89</v>
          </cell>
        </row>
        <row r="21">
          <cell r="G21">
            <v>84.97</v>
          </cell>
        </row>
        <row r="26">
          <cell r="G26">
            <v>46.47</v>
          </cell>
        </row>
      </sheetData>
      <sheetData sheetId="1">
        <row r="7">
          <cell r="D7">
            <v>73.08</v>
          </cell>
          <cell r="E7">
            <v>23.790000000000003</v>
          </cell>
          <cell r="F7">
            <v>36.54</v>
          </cell>
          <cell r="G7">
            <v>47.58</v>
          </cell>
          <cell r="H7">
            <v>60.89</v>
          </cell>
        </row>
      </sheetData>
      <sheetData sheetId="2"/>
      <sheetData sheetId="3"/>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8">
          <cell r="G8">
            <v>4.47</v>
          </cell>
        </row>
        <row r="11">
          <cell r="G11">
            <v>0.32</v>
          </cell>
        </row>
        <row r="14">
          <cell r="G14">
            <v>4.1899999999999995</v>
          </cell>
        </row>
        <row r="20">
          <cell r="G20">
            <v>2.11</v>
          </cell>
        </row>
        <row r="25">
          <cell r="G25">
            <v>889.6875</v>
          </cell>
        </row>
        <row r="28">
          <cell r="G28">
            <v>49.610827137546472</v>
          </cell>
        </row>
        <row r="33">
          <cell r="G33">
            <v>0.06</v>
          </cell>
        </row>
        <row r="35">
          <cell r="G35">
            <v>0.11</v>
          </cell>
        </row>
        <row r="40">
          <cell r="G40">
            <v>46.52</v>
          </cell>
        </row>
        <row r="44">
          <cell r="G44">
            <v>46.54</v>
          </cell>
        </row>
      </sheetData>
      <sheetData sheetId="1">
        <row r="7">
          <cell r="E7">
            <v>0.32</v>
          </cell>
          <cell r="F7">
            <v>1.6300000000000001</v>
          </cell>
          <cell r="G7">
            <v>1.82</v>
          </cell>
          <cell r="H7">
            <v>4.47</v>
          </cell>
        </row>
      </sheetData>
      <sheetData sheetId="2"/>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Sheet2"/>
      <sheetName val="Sheet3"/>
      <sheetName val="Sheet4"/>
    </sheetNames>
    <sheetDataSet>
      <sheetData sheetId="0">
        <row r="8">
          <cell r="G8">
            <v>43.9</v>
          </cell>
        </row>
        <row r="13">
          <cell r="G13">
            <v>10.91</v>
          </cell>
        </row>
        <row r="17">
          <cell r="G17">
            <v>1.19</v>
          </cell>
        </row>
        <row r="20">
          <cell r="G20">
            <v>6.38</v>
          </cell>
        </row>
        <row r="26">
          <cell r="G26">
            <v>21.28</v>
          </cell>
        </row>
        <row r="30">
          <cell r="G30">
            <v>20.400000000000002</v>
          </cell>
        </row>
        <row r="35">
          <cell r="G35">
            <v>10.91</v>
          </cell>
        </row>
      </sheetData>
      <sheetData sheetId="1">
        <row r="9">
          <cell r="D9">
            <v>44.21</v>
          </cell>
          <cell r="F9">
            <v>9.15</v>
          </cell>
          <cell r="G9">
            <v>43.9</v>
          </cell>
          <cell r="H9">
            <v>7.57</v>
          </cell>
        </row>
      </sheetData>
      <sheetData sheetId="2"/>
      <sheetData sheetId="3"/>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
          <cell r="G7">
            <v>7.56</v>
          </cell>
        </row>
        <row r="11">
          <cell r="G11">
            <v>2.84</v>
          </cell>
        </row>
        <row r="15">
          <cell r="G15">
            <v>37.32</v>
          </cell>
        </row>
        <row r="21">
          <cell r="G21">
            <v>43.949999999999996</v>
          </cell>
        </row>
        <row r="26">
          <cell r="G26">
            <v>26.34</v>
          </cell>
        </row>
      </sheetData>
      <sheetData sheetId="1">
        <row r="6">
          <cell r="E6">
            <v>2.84</v>
          </cell>
          <cell r="F6">
            <v>18.860000000000003</v>
          </cell>
          <cell r="G6">
            <v>37.720000000000006</v>
          </cell>
          <cell r="H6">
            <v>7.56</v>
          </cell>
        </row>
      </sheetData>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CC ROAD"/>
      <sheetName val="PCC Material"/>
      <sheetName val="RCC DRAIN"/>
      <sheetName val="Drain Material"/>
      <sheetName val="comp"/>
      <sheetName val="comp mat"/>
      <sheetName val="Abstract"/>
      <sheetName val="Dy. Mayor"/>
      <sheetName val="Dy. Mat"/>
      <sheetName val="File"/>
      <sheetName val="w2 MUMTAZ"/>
      <sheetName val="mat2"/>
      <sheetName val="W2 JOGO"/>
      <sheetName val="MAT JOGO"/>
      <sheetName val="ADALHATU RD5"/>
      <sheetName val="RD5 MAT"/>
      <sheetName val="Big Drain"/>
      <sheetName val="big mat"/>
      <sheetName val="W5 DRAIN"/>
      <sheetName val="W5 MAT"/>
      <sheetName val="Drain5"/>
      <sheetName val="w5mat"/>
      <sheetName val="ward 5 final"/>
      <sheetName val="final mat"/>
      <sheetName val="Sheet1"/>
      <sheetName val="w9"/>
      <sheetName val="PCC Material (2)"/>
      <sheetName val="AKHRA SHED MANCH"/>
      <sheetName val="SHED MANCH MAT"/>
      <sheetName val="Sarna Colony"/>
      <sheetName val="sarna mat"/>
      <sheetName val="krishna nagar"/>
      <sheetName val="krishna mat"/>
      <sheetName val="PUCHKA"/>
      <sheetName val="PUCHKA MAT"/>
      <sheetName val="GANPATI"/>
      <sheetName val="GANPATI MAT"/>
      <sheetName val="DEVI MANDAP"/>
      <sheetName val="DEVI MAT"/>
      <sheetName val="SINDWAR"/>
      <sheetName val="SINDWAR MAT"/>
      <sheetName val="SIND KARAM"/>
      <sheetName val="KARAM MAT"/>
      <sheetName val="Chitragupt 5"/>
      <sheetName val="Chitra mat"/>
      <sheetName val="FULA MAHTO5"/>
      <sheetName val="FULA MAT"/>
      <sheetName val="Gumla Petrol pump"/>
      <sheetName val="Gumla mat"/>
      <sheetName val="Gumla Drain"/>
      <sheetName val="Gum drain mat"/>
      <sheetName val="ABS"/>
      <sheetName val="nage tungri"/>
      <sheetName val="nage mat"/>
      <sheetName val="DSP"/>
      <sheetName val="DSP MAT"/>
      <sheetName val="KISHUNPUR VILL BOQ"/>
      <sheetName val="RAM OHDAR BOQ"/>
    </sheetNames>
    <sheetDataSet>
      <sheetData sheetId="0" refreshError="1"/>
      <sheetData sheetId="1" refreshError="1"/>
      <sheetData sheetId="2" refreshError="1">
        <row r="37">
          <cell r="I37">
            <v>848.82</v>
          </cell>
        </row>
        <row r="39">
          <cell r="I39">
            <v>447.06</v>
          </cell>
        </row>
        <row r="40">
          <cell r="I40">
            <v>679.66</v>
          </cell>
        </row>
        <row r="41">
          <cell r="I41">
            <v>117.54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Major Pull"/>
    </sheetNames>
    <sheetDataSet>
      <sheetData sheetId="0" refreshError="1">
        <row r="3">
          <cell r="A3" t="str">
            <v>Name of Work :-Construction of Major RCC Culvert at Bandhgari road no-05 under ward no-06</v>
          </cell>
        </row>
        <row r="8">
          <cell r="G8">
            <v>6.23</v>
          </cell>
        </row>
        <row r="13">
          <cell r="G13">
            <v>81</v>
          </cell>
        </row>
        <row r="18">
          <cell r="G18">
            <v>4.75</v>
          </cell>
        </row>
        <row r="23">
          <cell r="G23">
            <v>6.73</v>
          </cell>
        </row>
        <row r="24">
          <cell r="A24" t="str">
            <v>55.3.10</v>
          </cell>
          <cell r="B24" t="str">
            <v>Reinforced cement concrete work in walls (any thickness) including atteched plasters, buttresses plinth and string course, fillets, columns, pillars, piers, abutments, post, and struts etc above plinth level up to floor five level, excluding the cost of centering, shuttering, finishing and reinforcement.RCC1:1.5:3 (1 Cement : 1.5 coarse sand zone(III): 3 graded stone aggregate 20mm nominal size)</v>
          </cell>
        </row>
        <row r="28">
          <cell r="G28">
            <v>21.18</v>
          </cell>
        </row>
        <row r="29">
          <cell r="A29" t="str">
            <v>65.3.11</v>
          </cell>
          <cell r="B29" t="str">
            <v>Renforced cement conrete work in beams, suspended floors, having slopeup to 15' landing, balconies, shelves, chajjas, lintels, bands, plain windowsill ---------do----do-------E/I1:1.5:3 (1 Cement : 1.5 coarse sand zone(III): 3 graded stone aggregate 20mm nominal size)</v>
          </cell>
        </row>
        <row r="32">
          <cell r="G32">
            <v>4.9800000000000004</v>
          </cell>
        </row>
        <row r="33">
          <cell r="A33" t="str">
            <v>75.3.11</v>
          </cell>
          <cell r="B33" t="str">
            <v>Renforced cement conrete work in beams, suspended floors, having slopeup to 15' landing, balconies, shelves, chajjas, lintels, bands, plain windowsill ---------do----do-------E/I1:1.5:3 (1 Cement : 1.5 coarse sand zone(III): 3 graded stone aggregate 20mm nominal size)</v>
          </cell>
        </row>
        <row r="36">
          <cell r="G36">
            <v>1.02</v>
          </cell>
          <cell r="I36">
            <v>6308.87</v>
          </cell>
        </row>
        <row r="37">
          <cell r="A37">
            <v>8</v>
          </cell>
        </row>
        <row r="42">
          <cell r="G42">
            <v>6.2E-2</v>
          </cell>
        </row>
        <row r="43">
          <cell r="G43">
            <v>0.71799999999999997</v>
          </cell>
        </row>
        <row r="44">
          <cell r="A44" t="str">
            <v>(B)5.5.5(b)</v>
          </cell>
          <cell r="G44">
            <v>0.78</v>
          </cell>
          <cell r="I44">
            <v>80879.070000000007</v>
          </cell>
        </row>
        <row r="45">
          <cell r="A45" t="str">
            <v>(C)5.5.5(c)</v>
          </cell>
          <cell r="G45">
            <v>1.56</v>
          </cell>
          <cell r="I45">
            <v>80879.070000000007</v>
          </cell>
        </row>
        <row r="46">
          <cell r="A46" t="str">
            <v>9 5.3.1.1</v>
          </cell>
          <cell r="B46" t="str">
            <v>Providing and laying in position cement concrete of specified grade excluding the cost of centering and shuttering - All work up to plinth level1:1.5:3 (1 Cement : 1.5 coarse sand zone(III): 3 graded stone aggregate 20mm nominal size)</v>
          </cell>
        </row>
        <row r="49">
          <cell r="G49">
            <v>5.0999999999999996</v>
          </cell>
          <cell r="I49">
            <v>4961.7299999999996</v>
          </cell>
        </row>
        <row r="50">
          <cell r="A50" t="str">
            <v>105.3.17.1</v>
          </cell>
        </row>
        <row r="55">
          <cell r="G55">
            <v>105.02</v>
          </cell>
        </row>
        <row r="57">
          <cell r="G57">
            <v>13.44</v>
          </cell>
          <cell r="I57">
            <v>848.82</v>
          </cell>
        </row>
        <row r="58">
          <cell r="G58">
            <v>4.75</v>
          </cell>
          <cell r="I58">
            <v>447.06</v>
          </cell>
        </row>
        <row r="59">
          <cell r="G59">
            <v>6.73</v>
          </cell>
          <cell r="I59">
            <v>679.66</v>
          </cell>
        </row>
        <row r="60">
          <cell r="G60">
            <v>26.880000000000003</v>
          </cell>
          <cell r="I60">
            <v>447.06</v>
          </cell>
        </row>
        <row r="61">
          <cell r="G61">
            <v>81</v>
          </cell>
          <cell r="I61">
            <v>117.54</v>
          </cell>
        </row>
      </sheetData>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Shiv mandir Masna Sthal"/>
      <sheetName val="Sheet3"/>
    </sheetNames>
    <sheetDataSet>
      <sheetData sheetId="0" refreshError="1">
        <row r="3">
          <cell r="A3" t="str">
            <v>Name of Work :-Construction of RCC Drain at Bandhgari Road no-02 from Jageshwar Gop to Masna Sthal under ward no-06</v>
          </cell>
        </row>
        <row r="5">
          <cell r="A5" t="str">
            <v>1            5.10.2</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rain"/>
      <sheetName val="Drain Mat"/>
      <sheetName val="Shiv mandir Mandir Drain"/>
      <sheetName val="Sheet3"/>
    </sheetNames>
    <sheetDataSet>
      <sheetData sheetId="0" refreshError="1">
        <row r="3">
          <cell r="A3" t="str">
            <v>Name of Work :-Construction of RCC Drain at New Nagar Bandhgari from Shiv Mandir to Rajnish house under ward no-06</v>
          </cell>
        </row>
        <row r="5">
          <cell r="A5" t="str">
            <v>1            5.10.1</v>
          </cell>
          <cell r="B5" t="str">
            <v xml:space="preserve">Dismantling plain cement or lime concrete work including stacking serviceable materials in countable stacks within 15M.lead and disposal of unserviceable materials with all leads complete  as per direction of E/I.              </v>
          </cell>
        </row>
        <row r="8">
          <cell r="I8">
            <v>955.89</v>
          </cell>
        </row>
        <row r="9">
          <cell r="A9" t="str">
            <v>2            5.1.1</v>
          </cell>
          <cell r="B9" t="str">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ell>
        </row>
        <row r="13">
          <cell r="I13">
            <v>151.82</v>
          </cell>
        </row>
        <row r="14">
          <cell r="A14" t="str">
            <v>34/M004</v>
          </cell>
        </row>
        <row r="19">
          <cell r="A19" t="str">
            <v>45.6.8</v>
          </cell>
        </row>
        <row r="24">
          <cell r="A24" t="str">
            <v>55.3.10</v>
          </cell>
        </row>
        <row r="30">
          <cell r="I30">
            <v>6082.45</v>
          </cell>
        </row>
        <row r="31">
          <cell r="A31" t="str">
            <v>6 5.3.11</v>
          </cell>
          <cell r="B31" t="str">
            <v>Renforced cement conrete work in beams, suspended floors, having slopeup to 15' landing, balconies, shelves, chajjas, lintels, bands, plain windowsill ---------do----do-------E/I1:1.5:3 (1 Cement : 1.5 coarse sand zone(III): 3 graded stone aggregate 20mm nominal size)</v>
          </cell>
        </row>
        <row r="35">
          <cell r="I35">
            <v>6308.87</v>
          </cell>
        </row>
        <row r="36">
          <cell r="A36">
            <v>7</v>
          </cell>
          <cell r="B36" t="str">
            <v>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v>
          </cell>
        </row>
        <row r="41">
          <cell r="A41" t="str">
            <v>(A)5.5.4</v>
          </cell>
          <cell r="H41" t="str">
            <v>M.T.</v>
          </cell>
          <cell r="I41">
            <v>83314.02</v>
          </cell>
        </row>
        <row r="42">
          <cell r="A42" t="str">
            <v>(B)5.5.5(a)</v>
          </cell>
          <cell r="I42">
            <v>82096.539999999994</v>
          </cell>
        </row>
        <row r="44">
          <cell r="A44" t="str">
            <v>85.3.17.1</v>
          </cell>
          <cell r="B44" t="str">
            <v>Centering and Shuttering including strutting, propping etc and removal of from for   Foundation , footing , bases of columns etc for mass concrete.</v>
          </cell>
        </row>
        <row r="50">
          <cell r="H50" t="str">
            <v>m2</v>
          </cell>
          <cell r="I50">
            <v>194.5</v>
          </cell>
        </row>
        <row r="53">
          <cell r="B53" t="str">
            <v>Stone Dust (Lead 22 KM)</v>
          </cell>
        </row>
      </sheetData>
      <sheetData sheetId="1" refreshError="1"/>
      <sheetData sheetId="2" refreshError="1"/>
      <sheetData sheetId="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 val="Gadigaon Kuwar €runda"/>
      <sheetName val="BOQ"/>
    </sheetNames>
    <sheetDataSet>
      <sheetData sheetId="0" refreshError="1">
        <row r="3">
          <cell r="A3" t="str">
            <v>Name of Work :- Construction of PCC Road at Gadigaon,Pahantoli from house of Kunwar Runda to house of Surendra Kujur under ward no-07</v>
          </cell>
        </row>
        <row r="9">
          <cell r="B9" t="str">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ell>
        </row>
        <row r="12">
          <cell r="I12">
            <v>347.85</v>
          </cell>
        </row>
        <row r="13">
          <cell r="B13" t="str">
            <v>Supplying and laying (properly as per design and drawing) rip-rap with good  quality of boulders duly packed including the cost of materials, royalty all taxes etc. but excluding the cost of carriage all complete as per specification and direction of E/I.</v>
          </cell>
        </row>
        <row r="16">
          <cell r="I16">
            <v>1756.4</v>
          </cell>
        </row>
        <row r="17">
          <cell r="B17" t="str">
            <v>Providing and laying in position cement concrete of specified grade excluding the cost of centering and shuttering - All work up to plinth level1:1.5:3 (1 Cement : 1.5 coarse sand zone(III): 3 graded stone aggregate 20mm nominal size)</v>
          </cell>
        </row>
        <row r="26">
          <cell r="I26">
            <v>848.82</v>
          </cell>
        </row>
        <row r="27">
          <cell r="I27">
            <v>447.06</v>
          </cell>
        </row>
        <row r="28">
          <cell r="I28">
            <v>679.66</v>
          </cell>
        </row>
        <row r="29">
          <cell r="I29">
            <v>447.06</v>
          </cell>
        </row>
        <row r="30">
          <cell r="I30">
            <v>117.54</v>
          </cell>
        </row>
      </sheetData>
      <sheetData sheetId="1" refreshError="1"/>
      <sheetData sheetId="2" refreshError="1"/>
      <sheetData sheetId="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Drain"/>
      <sheetName val="Drain Mat"/>
      <sheetName val="Pahantoli sarnaSthal"/>
      <sheetName val="Sheet3"/>
    </sheetNames>
    <sheetDataSet>
      <sheetData sheetId="0" refreshError="1">
        <row r="3">
          <cell r="A3" t="str">
            <v>Name of Work :-Beautification of Sarna Sthal at Gadigaon, Pahantoli under ward no-07</v>
          </cell>
        </row>
        <row r="5">
          <cell r="A5" t="str">
            <v>1           5.1.1</v>
          </cell>
          <cell r="B5" t="str">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ell>
        </row>
        <row r="11">
          <cell r="G11">
            <v>22.39</v>
          </cell>
          <cell r="I11">
            <v>151.82</v>
          </cell>
        </row>
        <row r="12">
          <cell r="A12" t="str">
            <v>24/M004</v>
          </cell>
        </row>
        <row r="18">
          <cell r="G18">
            <v>4.95</v>
          </cell>
        </row>
        <row r="19">
          <cell r="A19" t="str">
            <v>3 5.6.3</v>
          </cell>
          <cell r="B19" t="str">
            <v>Providing designation 75B one Brick Flat Soling…… do………..do…….E/I.</v>
          </cell>
        </row>
        <row r="22">
          <cell r="G22">
            <v>13.38</v>
          </cell>
          <cell r="I22">
            <v>330.34</v>
          </cell>
        </row>
        <row r="23">
          <cell r="A23" t="str">
            <v>45.3.1.2</v>
          </cell>
        </row>
        <row r="30">
          <cell r="G30">
            <v>6.71</v>
          </cell>
          <cell r="I30">
            <v>4598.2299999999996</v>
          </cell>
        </row>
        <row r="31">
          <cell r="A31" t="str">
            <v>516.19DSR</v>
          </cell>
          <cell r="B31" t="str">
            <v xml:space="preserve">Supplying at site Angle iron post &amp; strut of required size includingbottom to be split and bent at right angle in opposite direction for 10cm length and drilling holes upto 10 mm dia. etc. complete. </v>
          </cell>
        </row>
        <row r="41">
          <cell r="G41">
            <v>1122.8700000000001</v>
          </cell>
          <cell r="I41">
            <v>86.75</v>
          </cell>
        </row>
        <row r="42">
          <cell r="A42" t="str">
            <v>616.70.1</v>
          </cell>
          <cell r="B42" t="str">
            <v xml:space="preserve">Providing and fixing G.I. chain link fabric fencing of required width inmesh size 50x50 mm including strengthening with 2 mm dia wire ornuts, bolts and washers as required complete as per the direction ofEngineer-in-charge.Made of G.I. wire of dia 4 mm </v>
          </cell>
        </row>
        <row r="45">
          <cell r="G45">
            <v>325.64999999999998</v>
          </cell>
          <cell r="I45">
            <v>746.04</v>
          </cell>
        </row>
        <row r="46">
          <cell r="A46" t="str">
            <v>75.5.30</v>
          </cell>
          <cell r="B46" t="str">
            <v>Supplying fitting and fixing M.S grill gate with M.S grills made of 20x6mm M.S flats or 16mm M.S square bars fitted on 25x25x6mm M.S Angle frame –do—(when steel is not supplied by the deptt.)</v>
          </cell>
        </row>
        <row r="50">
          <cell r="G50">
            <v>252</v>
          </cell>
          <cell r="H50" t="str">
            <v>Kg</v>
          </cell>
          <cell r="I50">
            <v>118.98</v>
          </cell>
        </row>
        <row r="51">
          <cell r="A51" t="str">
            <v>85.8.43</v>
          </cell>
          <cell r="B51" t="str">
            <v>Providing one coat of painting with ready mixed paint of approved shade and make over steel surface  including cleaning the surface thoroughly,scaffolding and taxes all complete as per building specification and direction of E/I</v>
          </cell>
        </row>
        <row r="58">
          <cell r="G58">
            <v>730.71</v>
          </cell>
          <cell r="I58">
            <v>70.61</v>
          </cell>
        </row>
        <row r="59">
          <cell r="A59">
            <v>9</v>
          </cell>
          <cell r="B59" t="str">
            <v>Providing Welder Grade-I</v>
          </cell>
          <cell r="C59">
            <v>20</v>
          </cell>
          <cell r="H59" t="str">
            <v>Each</v>
          </cell>
          <cell r="I59">
            <v>521.41999999999996</v>
          </cell>
        </row>
        <row r="60">
          <cell r="A60" t="str">
            <v>1016.91.1</v>
          </cell>
          <cell r="B60" t="str">
            <v>Providing and laying factory made chamfered edge Cement Concretepaver blocks in footpath, parks, lawns, drive ways or light trafficparking etc, of required strength, thickness &amp; size/ shape, made bytable vibratory method using PU mould, laid in required colour &amp;pattern over 50mm thick compacted bed of sand, compacting andproper embedding/laying of inter locking paver blocks into the sandbedding layer through vibratory compaction by using plate vibrator,filling the joints with sand and cutting of paver blocks as per requiredsize and pattern, finishing and sweeping extra sand. complete all asper direction of Engineer-in-Charge.</v>
          </cell>
        </row>
        <row r="65">
          <cell r="G65">
            <v>80.540000000000006</v>
          </cell>
          <cell r="I65">
            <v>809.28</v>
          </cell>
        </row>
        <row r="66">
          <cell r="A66">
            <v>11</v>
          </cell>
          <cell r="B66" t="str">
            <v>RCC Bench</v>
          </cell>
          <cell r="C66">
            <v>14</v>
          </cell>
          <cell r="H66" t="str">
            <v>Each</v>
          </cell>
          <cell r="I66">
            <v>9500</v>
          </cell>
        </row>
        <row r="68">
          <cell r="B68" t="str">
            <v>Sand  (Lead Upto 49 km)</v>
          </cell>
          <cell r="G68">
            <v>2.89</v>
          </cell>
          <cell r="H68" t="str">
            <v>M3</v>
          </cell>
          <cell r="I68">
            <v>848.82</v>
          </cell>
        </row>
        <row r="69">
          <cell r="B69" t="str">
            <v>Stone Dust (Lead 22 KM)</v>
          </cell>
          <cell r="G69">
            <v>5.3500000000000005</v>
          </cell>
          <cell r="H69" t="str">
            <v>M3</v>
          </cell>
          <cell r="I69">
            <v>447.06</v>
          </cell>
        </row>
        <row r="70">
          <cell r="B70" t="str">
            <v>Brick 8 km</v>
          </cell>
          <cell r="G70">
            <v>435</v>
          </cell>
          <cell r="H70" t="str">
            <v>Nos</v>
          </cell>
          <cell r="I70">
            <v>755.2</v>
          </cell>
        </row>
        <row r="71">
          <cell r="B71" t="str">
            <v>Stone Chips (Lead 22KM)</v>
          </cell>
          <cell r="G71">
            <v>5.77</v>
          </cell>
          <cell r="H71" t="str">
            <v>M3</v>
          </cell>
          <cell r="I71">
            <v>447.06</v>
          </cell>
        </row>
        <row r="72">
          <cell r="B72" t="str">
            <v>Earth (Lead 01 KM)</v>
          </cell>
          <cell r="G72">
            <v>22.39</v>
          </cell>
          <cell r="H72" t="str">
            <v>M3</v>
          </cell>
          <cell r="I72">
            <v>117.54</v>
          </cell>
        </row>
      </sheetData>
      <sheetData sheetId="1" refreshError="1"/>
      <sheetData sheetId="2" refreshError="1"/>
      <sheetData sheetId="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 val="Tiril Paver Block"/>
      <sheetName val="Sheet3"/>
    </sheetNames>
    <sheetDataSet>
      <sheetData sheetId="0" refreshError="1">
        <row r="3">
          <cell r="A3" t="str">
            <v>Name of Work :- Construction of Paver Block at Tiril Basti Akhara under ward no-09</v>
          </cell>
        </row>
        <row r="9">
          <cell r="G9">
            <v>127.3</v>
          </cell>
        </row>
        <row r="14">
          <cell r="G14">
            <v>47.5</v>
          </cell>
        </row>
        <row r="15">
          <cell r="A15" t="str">
            <v>316.91.2</v>
          </cell>
          <cell r="B15" t="str">
            <v xml:space="preserve">Providing and laying factory made chamfered edge Cement Concretepaver blocks in footpath, parks, lawns, drive ways or light trafficparking etc, of required strength, thickness &amp; size/ shape, made bytable vibratory method using PU mould, laid in required colour &amp;pattern over 50mm thick compacted bed of sand, compacting andproper embedding/laying of inter locking paver blocks into the sandbedding layer through vibratory compaction by using plate vibrator,filling the joints with sand and cutting of paver blocks as per requiredsize and pattern, finishing and sweeping extra sand. complete all asper direction of Engineer-in-Charge80 mm thick C.C. paver block of M-30 grade with approvedcolor design and pattern. </v>
          </cell>
        </row>
        <row r="19">
          <cell r="G19">
            <v>623.51</v>
          </cell>
          <cell r="I19">
            <v>877.72</v>
          </cell>
        </row>
        <row r="20">
          <cell r="A20" t="str">
            <v>45.3.1.2</v>
          </cell>
          <cell r="B20" t="str">
            <v>Providing and laying in position cement concrete of specified grade excluding the cost of centering and shuttering - All work up to plinth level1:2:4 (1 Cement : 2 coarse sand zone(III): 4 graded stone aggregate 20mm nominal size)</v>
          </cell>
        </row>
        <row r="24">
          <cell r="G24">
            <v>0.87</v>
          </cell>
          <cell r="I24">
            <v>4598.2299999999996</v>
          </cell>
        </row>
        <row r="25">
          <cell r="A25" t="str">
            <v>55.7.3+5.7.11</v>
          </cell>
          <cell r="B25" t="str">
            <v>Providing 12mm thick cement plaster (1:4)……..do……do…… E/I.Providing 1.5mm cement punning including curing,carriage of water with all leads and lifts as per building specification and direction of E/I</v>
          </cell>
        </row>
        <row r="28">
          <cell r="G28">
            <v>8.18</v>
          </cell>
          <cell r="I28">
            <v>220.23</v>
          </cell>
        </row>
        <row r="30">
          <cell r="B30" t="str">
            <v>Sand  (Lead Upto 49 km)</v>
          </cell>
          <cell r="G30">
            <v>0.51</v>
          </cell>
          <cell r="I30">
            <v>848.82</v>
          </cell>
        </row>
        <row r="31">
          <cell r="B31" t="str">
            <v>Stone Dust (Lead 22 KM)</v>
          </cell>
          <cell r="G31">
            <v>47.5</v>
          </cell>
          <cell r="I31">
            <v>447.06</v>
          </cell>
        </row>
        <row r="32">
          <cell r="B32" t="str">
            <v>Stone Chips (Lead 22KM)</v>
          </cell>
          <cell r="G32">
            <v>0.78</v>
          </cell>
          <cell r="I32">
            <v>447.06</v>
          </cell>
        </row>
        <row r="33">
          <cell r="B33" t="str">
            <v>Earth  (Lead 01KM)</v>
          </cell>
          <cell r="G33">
            <v>127.3</v>
          </cell>
          <cell r="I33">
            <v>117.54</v>
          </cell>
        </row>
      </sheetData>
      <sheetData sheetId="1" refreshError="1"/>
      <sheetData sheetId="2" refreshError="1"/>
      <sheetData sheetId="3"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Drain"/>
      <sheetName val="Drain Mat"/>
      <sheetName val="Joratalab Tower Gali"/>
      <sheetName val="Sheet3"/>
    </sheetNames>
    <sheetDataSet>
      <sheetData sheetId="0" refreshError="1">
        <row r="3">
          <cell r="A3" t="str">
            <v>Name of Work :-Construction of RCC Drain at Jora Talab Tower Gali from house of Mustaq Khan to house of Chun Chun under ward no-09</v>
          </cell>
        </row>
        <row r="5">
          <cell r="A5" t="str">
            <v>1           5.1.1</v>
          </cell>
          <cell r="B5" t="str">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ell>
        </row>
        <row r="8">
          <cell r="G8">
            <v>62.11</v>
          </cell>
          <cell r="I8">
            <v>151.82</v>
          </cell>
        </row>
        <row r="9">
          <cell r="A9" t="str">
            <v>24/M004</v>
          </cell>
        </row>
        <row r="12">
          <cell r="G12">
            <v>3.85</v>
          </cell>
        </row>
        <row r="13">
          <cell r="A13" t="str">
            <v>35.6.8</v>
          </cell>
        </row>
        <row r="16">
          <cell r="G16">
            <v>9.8699999999999992</v>
          </cell>
        </row>
        <row r="17">
          <cell r="A17" t="str">
            <v>45.3.10</v>
          </cell>
        </row>
        <row r="21">
          <cell r="G21">
            <v>26</v>
          </cell>
          <cell r="I21">
            <v>6082.45</v>
          </cell>
        </row>
        <row r="22">
          <cell r="A22" t="str">
            <v>5 5.3.11</v>
          </cell>
          <cell r="B22" t="str">
            <v>Renforced cement conrete work in beams, suspended floors, having slopeup to 15' landing, balconies, shelves, chajjas, lintels, bands, plain windowsill ---------do----do-------E/I1:1.5:3 (1 Cement : 1.5 coarse sand zone(III): 3 graded stone aggregate 20mm nominal size)</v>
          </cell>
        </row>
        <row r="25">
          <cell r="G25">
            <v>12.04</v>
          </cell>
          <cell r="I25">
            <v>6308.87</v>
          </cell>
        </row>
        <row r="26">
          <cell r="A26">
            <v>6</v>
          </cell>
          <cell r="B26" t="str">
            <v>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v>
          </cell>
        </row>
        <row r="31">
          <cell r="A31" t="str">
            <v>(A)5.5.4</v>
          </cell>
          <cell r="B31" t="str">
            <v>08mm dia 40%</v>
          </cell>
          <cell r="G31">
            <v>1.2090000000000001</v>
          </cell>
          <cell r="H31" t="str">
            <v>M.T.</v>
          </cell>
          <cell r="I31">
            <v>83314.02</v>
          </cell>
        </row>
        <row r="32">
          <cell r="A32" t="str">
            <v>(B)5.5.5(a)</v>
          </cell>
          <cell r="B32" t="str">
            <v>10mm dia 60%</v>
          </cell>
          <cell r="G32">
            <v>1.8129999999999999</v>
          </cell>
          <cell r="I32">
            <v>82096.539999999994</v>
          </cell>
        </row>
        <row r="34">
          <cell r="A34" t="str">
            <v>75.3.17.1</v>
          </cell>
          <cell r="B34" t="str">
            <v>Centering and Shuttering including strutting, propping etc and removal of from for   Foundation , footing , bases of columns etc for mass concrete.</v>
          </cell>
        </row>
        <row r="38">
          <cell r="G38">
            <v>276.49</v>
          </cell>
          <cell r="H38" t="str">
            <v>m2</v>
          </cell>
          <cell r="I38">
            <v>194.5</v>
          </cell>
        </row>
        <row r="40">
          <cell r="G40">
            <v>16.36</v>
          </cell>
        </row>
        <row r="41">
          <cell r="B41" t="str">
            <v>Stone Dust (Lead 22 KM)</v>
          </cell>
          <cell r="G41">
            <v>3.85</v>
          </cell>
        </row>
        <row r="42">
          <cell r="G42">
            <v>9.8699999999999992</v>
          </cell>
        </row>
        <row r="43">
          <cell r="G43">
            <v>32.71</v>
          </cell>
        </row>
        <row r="44">
          <cell r="G44">
            <v>62.11</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sheetPr>
    <pageSetUpPr fitToPage="1"/>
  </sheetPr>
  <dimension ref="A1:J50"/>
  <sheetViews>
    <sheetView tabSelected="1" topLeftCell="A16" zoomScaleSheetLayoutView="100" workbookViewId="0">
      <selection activeCell="E26" sqref="E26"/>
    </sheetView>
  </sheetViews>
  <sheetFormatPr defaultRowHeight="15"/>
  <cols>
    <col min="1" max="1" width="7.7109375" customWidth="1"/>
    <col min="2" max="2" width="50.42578125" customWidth="1"/>
    <col min="3" max="3" width="8.5703125" customWidth="1"/>
    <col min="4" max="4" width="5.140625" bestFit="1" customWidth="1"/>
    <col min="5" max="5" width="10.28515625" customWidth="1"/>
    <col min="6" max="6" width="18.85546875" customWidth="1"/>
  </cols>
  <sheetData>
    <row r="1" spans="1:10" ht="21" customHeight="1">
      <c r="A1" s="285" t="s">
        <v>190</v>
      </c>
      <c r="B1" s="285"/>
      <c r="C1" s="285"/>
      <c r="D1" s="285"/>
      <c r="E1" s="285"/>
      <c r="F1" s="285"/>
    </row>
    <row r="2" spans="1:10" ht="14.25" customHeight="1">
      <c r="A2" s="286" t="s">
        <v>48</v>
      </c>
      <c r="B2" s="287"/>
      <c r="C2" s="287"/>
      <c r="D2" s="287"/>
      <c r="E2" s="287"/>
      <c r="F2" s="288"/>
    </row>
    <row r="3" spans="1:10" ht="25.5" customHeight="1">
      <c r="A3" s="289" t="s">
        <v>191</v>
      </c>
      <c r="B3" s="290"/>
      <c r="C3" s="290"/>
      <c r="D3" s="290"/>
      <c r="E3" s="290"/>
      <c r="F3" s="291"/>
      <c r="G3" s="150"/>
      <c r="H3" s="150"/>
      <c r="I3" s="150"/>
      <c r="J3" s="150"/>
    </row>
    <row r="4" spans="1:10" s="108" customFormat="1" ht="60" customHeight="1">
      <c r="A4" s="151" t="s">
        <v>192</v>
      </c>
      <c r="B4" s="152" t="s">
        <v>193</v>
      </c>
      <c r="C4" s="153">
        <v>30.25</v>
      </c>
      <c r="D4" s="154" t="s">
        <v>8</v>
      </c>
      <c r="E4" s="155">
        <v>151.82</v>
      </c>
      <c r="F4" s="156">
        <f>ROUND((C4*E4),2)</f>
        <v>4592.5600000000004</v>
      </c>
      <c r="G4" s="150"/>
      <c r="H4" s="150"/>
      <c r="I4" s="150"/>
      <c r="J4" s="150"/>
    </row>
    <row r="5" spans="1:10" ht="63" customHeight="1">
      <c r="A5" s="151" t="s">
        <v>194</v>
      </c>
      <c r="B5" s="152" t="s">
        <v>14</v>
      </c>
      <c r="C5" s="157">
        <v>2.83</v>
      </c>
      <c r="D5" s="154" t="s">
        <v>8</v>
      </c>
      <c r="E5" s="157">
        <v>589.51</v>
      </c>
      <c r="F5" s="156">
        <f t="shared" ref="F5:F17" si="0">ROUND((C5*E5),2)</f>
        <v>1668.31</v>
      </c>
      <c r="G5" s="150"/>
      <c r="H5" s="150"/>
      <c r="I5" s="150"/>
      <c r="J5" s="150"/>
    </row>
    <row r="6" spans="1:10" s="150" customFormat="1" ht="52.5" customHeight="1">
      <c r="A6" s="158" t="s">
        <v>195</v>
      </c>
      <c r="B6" s="159" t="s">
        <v>15</v>
      </c>
      <c r="C6" s="157">
        <v>4.6399999999999997</v>
      </c>
      <c r="D6" s="154" t="s">
        <v>8</v>
      </c>
      <c r="E6" s="157">
        <v>1756.4</v>
      </c>
      <c r="F6" s="156">
        <f t="shared" si="0"/>
        <v>8149.7</v>
      </c>
    </row>
    <row r="7" spans="1:10" s="150" customFormat="1" ht="51.75" customHeight="1">
      <c r="A7" s="158" t="s">
        <v>196</v>
      </c>
      <c r="B7" s="160" t="s">
        <v>197</v>
      </c>
      <c r="C7" s="157">
        <v>14.16</v>
      </c>
      <c r="D7" s="154" t="s">
        <v>8</v>
      </c>
      <c r="E7" s="157">
        <v>6082.45</v>
      </c>
      <c r="F7" s="156">
        <f t="shared" si="0"/>
        <v>86127.49</v>
      </c>
    </row>
    <row r="8" spans="1:10" s="150" customFormat="1" ht="58.5" customHeight="1">
      <c r="A8" s="158" t="s">
        <v>198</v>
      </c>
      <c r="B8" s="160" t="s">
        <v>199</v>
      </c>
      <c r="C8" s="157">
        <v>5.66</v>
      </c>
      <c r="D8" s="154" t="s">
        <v>8</v>
      </c>
      <c r="E8" s="157">
        <v>6308.87</v>
      </c>
      <c r="F8" s="156">
        <f t="shared" si="0"/>
        <v>35708.199999999997</v>
      </c>
    </row>
    <row r="9" spans="1:10" s="150" customFormat="1" ht="83.25" customHeight="1">
      <c r="A9" s="161">
        <v>6</v>
      </c>
      <c r="B9" s="162" t="s">
        <v>200</v>
      </c>
      <c r="C9" s="163">
        <v>0.63</v>
      </c>
      <c r="D9" s="154" t="s">
        <v>8</v>
      </c>
      <c r="E9" s="157">
        <v>83314.02</v>
      </c>
      <c r="F9" s="156">
        <f t="shared" si="0"/>
        <v>52487.83</v>
      </c>
    </row>
    <row r="10" spans="1:10" s="150" customFormat="1" ht="15.75" customHeight="1">
      <c r="A10" s="161"/>
      <c r="B10" s="162" t="s">
        <v>201</v>
      </c>
      <c r="C10" s="163">
        <v>0.96299999999999997</v>
      </c>
      <c r="D10" s="154" t="s">
        <v>8</v>
      </c>
      <c r="E10" s="157">
        <v>82096.539999999994</v>
      </c>
      <c r="F10" s="156">
        <f t="shared" si="0"/>
        <v>79058.97</v>
      </c>
    </row>
    <row r="11" spans="1:10" s="150" customFormat="1" ht="33.75" customHeight="1">
      <c r="A11" s="158" t="s">
        <v>202</v>
      </c>
      <c r="B11" s="159" t="s">
        <v>203</v>
      </c>
      <c r="C11" s="164">
        <v>111.52</v>
      </c>
      <c r="D11" s="165" t="s">
        <v>9</v>
      </c>
      <c r="E11" s="166">
        <v>194.5</v>
      </c>
      <c r="F11" s="156">
        <f t="shared" si="0"/>
        <v>21690.639999999999</v>
      </c>
    </row>
    <row r="12" spans="1:10" s="150" customFormat="1" ht="19.5" customHeight="1">
      <c r="A12" s="158">
        <v>8</v>
      </c>
      <c r="B12" s="159" t="s">
        <v>204</v>
      </c>
      <c r="C12" s="164">
        <v>0</v>
      </c>
      <c r="D12" s="164">
        <v>0</v>
      </c>
      <c r="E12" s="166">
        <v>0</v>
      </c>
      <c r="F12" s="156">
        <v>0</v>
      </c>
    </row>
    <row r="13" spans="1:10" s="150" customFormat="1" ht="20.25" customHeight="1">
      <c r="A13" s="167" t="s">
        <v>17</v>
      </c>
      <c r="B13" s="168" t="s">
        <v>205</v>
      </c>
      <c r="C13" s="157">
        <v>8.52</v>
      </c>
      <c r="D13" s="157" t="s">
        <v>8</v>
      </c>
      <c r="E13" s="166">
        <v>848.82</v>
      </c>
      <c r="F13" s="156">
        <f t="shared" si="0"/>
        <v>7231.95</v>
      </c>
    </row>
    <row r="14" spans="1:10" s="150" customFormat="1" ht="20.25" customHeight="1">
      <c r="A14" s="167" t="s">
        <v>18</v>
      </c>
      <c r="B14" s="168" t="s">
        <v>206</v>
      </c>
      <c r="C14" s="157">
        <v>2.83</v>
      </c>
      <c r="D14" s="157" t="s">
        <v>8</v>
      </c>
      <c r="E14" s="166">
        <v>328.02</v>
      </c>
      <c r="F14" s="156">
        <f t="shared" si="0"/>
        <v>928.3</v>
      </c>
    </row>
    <row r="15" spans="1:10" s="150" customFormat="1" ht="21" customHeight="1">
      <c r="A15" s="167" t="s">
        <v>19</v>
      </c>
      <c r="B15" s="169" t="s">
        <v>207</v>
      </c>
      <c r="C15" s="157">
        <v>17.05</v>
      </c>
      <c r="D15" s="157" t="s">
        <v>8</v>
      </c>
      <c r="E15" s="166">
        <v>447.06</v>
      </c>
      <c r="F15" s="156">
        <f t="shared" si="0"/>
        <v>7622.37</v>
      </c>
    </row>
    <row r="16" spans="1:10" s="150" customFormat="1" ht="19.5" customHeight="1">
      <c r="A16" s="167" t="s">
        <v>20</v>
      </c>
      <c r="B16" s="169" t="s">
        <v>208</v>
      </c>
      <c r="C16" s="157">
        <v>4.6399999999999997</v>
      </c>
      <c r="D16" s="157" t="s">
        <v>8</v>
      </c>
      <c r="E16" s="166">
        <v>679.66</v>
      </c>
      <c r="F16" s="156">
        <f t="shared" si="0"/>
        <v>3153.62</v>
      </c>
    </row>
    <row r="17" spans="1:6" s="150" customFormat="1">
      <c r="A17" s="167" t="s">
        <v>21</v>
      </c>
      <c r="B17" s="169" t="s">
        <v>209</v>
      </c>
      <c r="C17" s="157">
        <v>30.25</v>
      </c>
      <c r="D17" s="157" t="s">
        <v>8</v>
      </c>
      <c r="E17" s="166">
        <v>117.54</v>
      </c>
      <c r="F17" s="156">
        <f t="shared" si="0"/>
        <v>3555.59</v>
      </c>
    </row>
    <row r="18" spans="1:6" s="150" customFormat="1">
      <c r="A18" s="170"/>
      <c r="B18" s="171"/>
      <c r="C18" s="172"/>
      <c r="D18" s="173"/>
      <c r="E18" s="173" t="s">
        <v>38</v>
      </c>
      <c r="F18" s="174">
        <f>SUM(F4:F17)</f>
        <v>311975.53000000009</v>
      </c>
    </row>
    <row r="19" spans="1:6" s="150" customFormat="1">
      <c r="A19" s="175"/>
      <c r="B19" s="176"/>
      <c r="C19" s="173"/>
      <c r="D19" s="172"/>
      <c r="E19" s="173" t="s">
        <v>210</v>
      </c>
      <c r="F19" s="174">
        <f>F18*18/100</f>
        <v>56155.59540000002</v>
      </c>
    </row>
    <row r="20" spans="1:6" s="150" customFormat="1">
      <c r="A20" s="175"/>
      <c r="B20" s="176"/>
      <c r="C20" s="173"/>
      <c r="D20" s="173"/>
      <c r="E20" s="173"/>
      <c r="F20" s="174">
        <f>F18+F19</f>
        <v>368131.12540000014</v>
      </c>
    </row>
    <row r="21" spans="1:6" s="150" customFormat="1">
      <c r="A21" s="175"/>
      <c r="B21" s="176"/>
      <c r="C21" s="173"/>
      <c r="D21" s="173"/>
      <c r="E21" s="173" t="s">
        <v>211</v>
      </c>
      <c r="F21" s="174">
        <f>F20*1/100</f>
        <v>3681.3112540000016</v>
      </c>
    </row>
    <row r="22" spans="1:6" s="150" customFormat="1">
      <c r="A22" s="175"/>
      <c r="B22" s="176"/>
      <c r="C22" s="173"/>
      <c r="D22" s="173"/>
      <c r="E22" s="173" t="s">
        <v>38</v>
      </c>
      <c r="F22" s="177">
        <f>F20+F21</f>
        <v>371812.43665400014</v>
      </c>
    </row>
    <row r="23" spans="1:6" s="150" customFormat="1">
      <c r="C23" s="178"/>
      <c r="D23" s="178"/>
      <c r="E23" s="178"/>
      <c r="F23" s="178"/>
    </row>
    <row r="24" spans="1:6" s="150" customFormat="1">
      <c r="C24" s="178"/>
      <c r="D24" s="178"/>
      <c r="E24" s="178"/>
      <c r="F24" s="178"/>
    </row>
    <row r="25" spans="1:6" s="150" customFormat="1">
      <c r="C25" s="178"/>
      <c r="D25" s="178"/>
      <c r="E25" s="178"/>
      <c r="F25" s="178"/>
    </row>
    <row r="26" spans="1:6" s="150" customFormat="1">
      <c r="C26" s="178"/>
      <c r="D26" s="178"/>
      <c r="E26" s="178"/>
      <c r="F26" s="178"/>
    </row>
    <row r="27" spans="1:6" s="150" customFormat="1">
      <c r="C27" s="178"/>
      <c r="D27" s="178"/>
      <c r="E27" s="178"/>
      <c r="F27" s="178"/>
    </row>
    <row r="28" spans="1:6" s="150" customFormat="1">
      <c r="C28" s="178"/>
      <c r="D28" s="178"/>
      <c r="E28" s="178"/>
      <c r="F28" s="178"/>
    </row>
    <row r="29" spans="1:6" s="150" customFormat="1">
      <c r="C29" s="178"/>
      <c r="D29" s="178"/>
      <c r="E29" s="178"/>
      <c r="F29" s="178"/>
    </row>
    <row r="30" spans="1:6" s="150" customFormat="1">
      <c r="C30" s="178"/>
      <c r="D30" s="178"/>
      <c r="E30" s="178"/>
      <c r="F30" s="178"/>
    </row>
    <row r="31" spans="1:6" s="150" customFormat="1">
      <c r="C31" s="178"/>
      <c r="D31" s="178"/>
      <c r="E31" s="178"/>
      <c r="F31" s="178"/>
    </row>
    <row r="32" spans="1:6" s="150" customFormat="1">
      <c r="C32" s="178"/>
      <c r="D32" s="178"/>
      <c r="E32" s="178"/>
      <c r="F32" s="178"/>
    </row>
    <row r="33" spans="1:10" s="150" customFormat="1">
      <c r="C33" s="178"/>
      <c r="D33" s="178"/>
      <c r="E33" s="178"/>
      <c r="F33" s="178"/>
    </row>
    <row r="34" spans="1:10" s="150" customFormat="1">
      <c r="C34" s="178"/>
      <c r="D34" s="178"/>
      <c r="E34" s="178"/>
      <c r="F34" s="178"/>
    </row>
    <row r="35" spans="1:10" s="150" customFormat="1">
      <c r="C35" s="178"/>
      <c r="D35" s="178"/>
      <c r="E35" s="178"/>
      <c r="F35" s="178"/>
    </row>
    <row r="36" spans="1:10" s="150" customFormat="1">
      <c r="C36" s="178"/>
      <c r="D36" s="178"/>
      <c r="E36" s="178"/>
      <c r="F36" s="178"/>
    </row>
    <row r="37" spans="1:10" s="150" customFormat="1">
      <c r="C37" s="178"/>
      <c r="D37" s="178"/>
      <c r="E37" s="178"/>
      <c r="F37" s="178"/>
    </row>
    <row r="38" spans="1:10" s="150" customFormat="1">
      <c r="C38" s="178"/>
      <c r="D38" s="178"/>
      <c r="E38" s="178"/>
      <c r="F38" s="178"/>
      <c r="G38"/>
      <c r="H38"/>
      <c r="I38"/>
      <c r="J38"/>
    </row>
    <row r="39" spans="1:10" s="150" customFormat="1">
      <c r="C39" s="178"/>
      <c r="D39" s="178"/>
      <c r="E39" s="178"/>
      <c r="F39" s="178"/>
      <c r="G39"/>
      <c r="H39"/>
      <c r="I39"/>
      <c r="J39"/>
    </row>
    <row r="40" spans="1:10" s="150" customFormat="1">
      <c r="A40"/>
      <c r="B40"/>
      <c r="C40" s="179"/>
      <c r="D40" s="179"/>
      <c r="E40" s="179"/>
      <c r="F40" s="179"/>
      <c r="G40"/>
      <c r="H40"/>
      <c r="I40"/>
      <c r="J40"/>
    </row>
    <row r="41" spans="1:10">
      <c r="C41" s="179"/>
      <c r="D41" s="179"/>
      <c r="E41" s="179"/>
      <c r="F41" s="179"/>
    </row>
    <row r="42" spans="1:10">
      <c r="C42" s="179"/>
      <c r="D42" s="179"/>
      <c r="E42" s="179"/>
      <c r="F42" s="179"/>
    </row>
    <row r="43" spans="1:10">
      <c r="C43" s="179"/>
      <c r="D43" s="179"/>
      <c r="E43" s="179"/>
      <c r="F43" s="179"/>
    </row>
    <row r="44" spans="1:10">
      <c r="C44" s="179"/>
      <c r="D44" s="179"/>
      <c r="E44" s="179"/>
      <c r="F44" s="179"/>
    </row>
    <row r="45" spans="1:10">
      <c r="C45" s="179"/>
      <c r="D45" s="179"/>
      <c r="E45" s="179"/>
      <c r="F45" s="179"/>
    </row>
    <row r="46" spans="1:10">
      <c r="C46" s="179"/>
      <c r="D46" s="179"/>
      <c r="E46" s="179"/>
      <c r="F46" s="179"/>
    </row>
    <row r="47" spans="1:10">
      <c r="C47" s="179"/>
      <c r="D47" s="179"/>
      <c r="E47" s="179"/>
      <c r="F47" s="179"/>
    </row>
    <row r="48" spans="1:10">
      <c r="C48" s="179"/>
      <c r="D48" s="179"/>
      <c r="E48" s="179"/>
      <c r="F48" s="179"/>
    </row>
    <row r="49" spans="3:6">
      <c r="C49" s="179"/>
      <c r="D49" s="179"/>
      <c r="E49" s="179"/>
      <c r="F49" s="179"/>
    </row>
    <row r="50" spans="3:6">
      <c r="C50" s="179"/>
      <c r="D50" s="179"/>
      <c r="E50" s="179"/>
      <c r="F50" s="179"/>
    </row>
  </sheetData>
  <mergeCells count="3">
    <mergeCell ref="A1:F1"/>
    <mergeCell ref="A2:F2"/>
    <mergeCell ref="A3:F3"/>
  </mergeCells>
  <printOptions horizontalCentered="1"/>
  <pageMargins left="0.35433070866141736" right="0.35433070866141736" top="0.74803149606299213" bottom="0.74803149606299213" header="0.31496062992125984" footer="0.31496062992125984"/>
  <pageSetup paperSize="9" scale="95" fitToHeight="0" orientation="portrait" r:id="rId1"/>
</worksheet>
</file>

<file path=xl/worksheets/sheet10.xml><?xml version="1.0" encoding="utf-8"?>
<worksheet xmlns="http://schemas.openxmlformats.org/spreadsheetml/2006/main" xmlns:r="http://schemas.openxmlformats.org/officeDocument/2006/relationships">
  <dimension ref="A1:F20"/>
  <sheetViews>
    <sheetView topLeftCell="A13" workbookViewId="0">
      <selection activeCell="D5" sqref="D5"/>
    </sheetView>
  </sheetViews>
  <sheetFormatPr defaultColWidth="9.140625" defaultRowHeight="15"/>
  <cols>
    <col min="1" max="1" width="9.28515625" style="60" bestFit="1" customWidth="1"/>
    <col min="2" max="2" width="42.28515625" style="61" customWidth="1"/>
    <col min="3" max="3" width="9.140625" style="44" customWidth="1"/>
    <col min="4" max="4" width="9.140625" style="62"/>
    <col min="5" max="5" width="11.28515625" style="63" bestFit="1" customWidth="1"/>
    <col min="6" max="6" width="18.5703125" style="63" bestFit="1" customWidth="1"/>
    <col min="7" max="16384" width="9.140625" style="44"/>
  </cols>
  <sheetData>
    <row r="1" spans="1:6" ht="60.75" customHeight="1">
      <c r="A1" s="307" t="s">
        <v>0</v>
      </c>
      <c r="B1" s="307"/>
      <c r="C1" s="307"/>
      <c r="D1" s="307"/>
      <c r="E1" s="307"/>
      <c r="F1" s="307"/>
    </row>
    <row r="2" spans="1:6" ht="18.75">
      <c r="A2" s="308" t="s">
        <v>22</v>
      </c>
      <c r="B2" s="308"/>
      <c r="C2" s="308"/>
      <c r="D2" s="308"/>
      <c r="E2" s="308"/>
      <c r="F2" s="308"/>
    </row>
    <row r="3" spans="1:6" ht="18.75">
      <c r="A3" s="309" t="str">
        <f>[8]Sheet1!A3</f>
        <v>Name of Work :- Construction of Paver Block at Tiril Basti Akhara under ward no-09</v>
      </c>
      <c r="B3" s="309"/>
      <c r="C3" s="309"/>
      <c r="D3" s="309"/>
      <c r="E3" s="309"/>
      <c r="F3" s="309"/>
    </row>
    <row r="4" spans="1:6">
      <c r="A4" s="45" t="s">
        <v>23</v>
      </c>
      <c r="B4" s="45" t="s">
        <v>24</v>
      </c>
      <c r="C4" s="45" t="s">
        <v>25</v>
      </c>
      <c r="D4" s="45" t="s">
        <v>5</v>
      </c>
      <c r="E4" s="46" t="s">
        <v>26</v>
      </c>
      <c r="F4" s="46" t="s">
        <v>27</v>
      </c>
    </row>
    <row r="5" spans="1:6" ht="120">
      <c r="A5" s="47" t="str">
        <f>[9]Drain!A5</f>
        <v>1           5.1.1</v>
      </c>
      <c r="B5" s="48" t="str">
        <f>[9]Drain!B5</f>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
      <c r="C5" s="49">
        <f>[8]Sheet1!G9</f>
        <v>127.3</v>
      </c>
      <c r="D5" s="50" t="str">
        <f>D6</f>
        <v>M3</v>
      </c>
      <c r="E5" s="51">
        <f>[9]Drain!I8</f>
        <v>151.82</v>
      </c>
      <c r="F5" s="51">
        <f>ROUND((C5*E5),2)</f>
        <v>19326.689999999999</v>
      </c>
    </row>
    <row r="6" spans="1:6" ht="120">
      <c r="A6" s="47" t="str">
        <f>[9]Drain!A9</f>
        <v>24/M004</v>
      </c>
      <c r="B6" s="48" t="str">
        <f>[6]Sheet1!B9</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6" s="49">
        <f>[8]Sheet1!G14</f>
        <v>47.5</v>
      </c>
      <c r="D6" s="50" t="s">
        <v>28</v>
      </c>
      <c r="E6" s="51">
        <f>[6]Sheet1!I12</f>
        <v>347.85</v>
      </c>
      <c r="F6" s="51">
        <f t="shared" ref="F6:F14" si="0">ROUND((C6*E6),2)</f>
        <v>16522.88</v>
      </c>
    </row>
    <row r="7" spans="1:6" ht="270">
      <c r="A7" s="47" t="str">
        <f>[8]Sheet1!A15</f>
        <v>316.91.2</v>
      </c>
      <c r="B7" s="48" t="str">
        <f>[8]Sheet1!B15</f>
        <v xml:space="preserve">Providing and laying factory made chamfered edge Cement Concretepaver blocks in footpath, parks, lawns, drive ways or light trafficparking etc, of required strength, thickness &amp; size/ shape, made bytable vibratory method using PU mould, laid in required colour &amp;pattern over 50mm thick compacted bed of sand, compacting andproper embedding/laying of inter locking paver blocks into the sandbedding layer through vibratory compaction by using plate vibrator,filling the joints with sand and cutting of paver blocks as per requiredsize and pattern, finishing and sweeping extra sand. complete all asper direction of Engineer-in-Charge80 mm thick C.C. paver block of M-30 grade with approvedcolor design and pattern. </v>
      </c>
      <c r="C7" s="49">
        <f>[8]Sheet1!G19</f>
        <v>623.51</v>
      </c>
      <c r="D7" s="50" t="s">
        <v>43</v>
      </c>
      <c r="E7" s="51">
        <f>[8]Sheet1!I19</f>
        <v>877.72</v>
      </c>
      <c r="F7" s="51">
        <f t="shared" si="0"/>
        <v>547267.19999999995</v>
      </c>
    </row>
    <row r="8" spans="1:6" ht="90">
      <c r="A8" s="47" t="str">
        <f>[8]Sheet1!A20</f>
        <v>45.3.1.2</v>
      </c>
      <c r="B8" s="48" t="str">
        <f>[8]Sheet1!B20</f>
        <v>Providing and laying in position cement concrete of specified grade excluding the cost of centering and shuttering - All work up to plinth level1:2:4 (1 Cement : 2 coarse sand zone(III): 4 graded stone aggregate 20mm nominal size)</v>
      </c>
      <c r="C8" s="49">
        <f>[8]Sheet1!G24</f>
        <v>0.87</v>
      </c>
      <c r="D8" s="50" t="s">
        <v>28</v>
      </c>
      <c r="E8" s="51">
        <f>[8]Sheet1!I24</f>
        <v>4598.2299999999996</v>
      </c>
      <c r="F8" s="51">
        <f t="shared" si="0"/>
        <v>4000.46</v>
      </c>
    </row>
    <row r="9" spans="1:6" ht="75">
      <c r="A9" s="47" t="str">
        <f>[8]Sheet1!A25</f>
        <v>55.7.3+5.7.11</v>
      </c>
      <c r="B9" s="48" t="str">
        <f>[8]Sheet1!B25</f>
        <v>Providing 12mm thick cement plaster (1:4)……..do……do…… E/I.Providing 1.5mm cement punning including curing,carriage of water with all leads and lifts as per building specification and direction of E/I</v>
      </c>
      <c r="C9" s="49">
        <f>[8]Sheet1!G28</f>
        <v>8.18</v>
      </c>
      <c r="D9" s="50" t="str">
        <f>D7</f>
        <v>M2</v>
      </c>
      <c r="E9" s="51">
        <f>[8]Sheet1!I28</f>
        <v>220.23</v>
      </c>
      <c r="F9" s="51">
        <f t="shared" si="0"/>
        <v>1801.48</v>
      </c>
    </row>
    <row r="10" spans="1:6">
      <c r="A10" s="53">
        <v>6</v>
      </c>
      <c r="B10" s="54" t="s">
        <v>33</v>
      </c>
      <c r="C10" s="55"/>
      <c r="D10" s="50"/>
      <c r="E10" s="51"/>
      <c r="F10" s="51"/>
    </row>
    <row r="11" spans="1:6">
      <c r="A11" s="56" t="s">
        <v>17</v>
      </c>
      <c r="B11" s="57" t="str">
        <f>[8]Sheet1!B30</f>
        <v>Sand  (Lead Upto 49 km)</v>
      </c>
      <c r="C11" s="49">
        <f>[8]Sheet1!G30</f>
        <v>0.51</v>
      </c>
      <c r="D11" s="50" t="s">
        <v>28</v>
      </c>
      <c r="E11" s="58">
        <f>[8]Sheet1!I30</f>
        <v>848.82</v>
      </c>
      <c r="F11" s="51">
        <f t="shared" si="0"/>
        <v>432.9</v>
      </c>
    </row>
    <row r="12" spans="1:6">
      <c r="A12" s="56" t="s">
        <v>18</v>
      </c>
      <c r="B12" s="57" t="str">
        <f>[8]Sheet1!B31</f>
        <v>Stone Dust (Lead 22 KM)</v>
      </c>
      <c r="C12" s="49">
        <f>[8]Sheet1!G31</f>
        <v>47.5</v>
      </c>
      <c r="D12" s="50" t="s">
        <v>28</v>
      </c>
      <c r="E12" s="58">
        <f>[8]Sheet1!I31</f>
        <v>447.06</v>
      </c>
      <c r="F12" s="51">
        <f t="shared" si="0"/>
        <v>21235.35</v>
      </c>
    </row>
    <row r="13" spans="1:6">
      <c r="A13" s="56" t="s">
        <v>19</v>
      </c>
      <c r="B13" s="57" t="str">
        <f>[8]Sheet1!B32</f>
        <v>Stone Chips (Lead 22KM)</v>
      </c>
      <c r="C13" s="49">
        <f>[8]Sheet1!G32</f>
        <v>0.78</v>
      </c>
      <c r="D13" s="50" t="s">
        <v>28</v>
      </c>
      <c r="E13" s="58">
        <f>[8]Sheet1!I32</f>
        <v>447.06</v>
      </c>
      <c r="F13" s="51">
        <f t="shared" si="0"/>
        <v>348.71</v>
      </c>
    </row>
    <row r="14" spans="1:6">
      <c r="A14" s="56" t="s">
        <v>20</v>
      </c>
      <c r="B14" s="57" t="str">
        <f>[8]Sheet1!B33</f>
        <v>Earth  (Lead 01KM)</v>
      </c>
      <c r="C14" s="49">
        <f>[8]Sheet1!G33</f>
        <v>127.3</v>
      </c>
      <c r="D14" s="50" t="s">
        <v>28</v>
      </c>
      <c r="E14" s="58">
        <f>[8]Sheet1!I33</f>
        <v>117.54</v>
      </c>
      <c r="F14" s="51">
        <f t="shared" si="0"/>
        <v>14962.84</v>
      </c>
    </row>
    <row r="15" spans="1:6" ht="18.75">
      <c r="A15" s="53"/>
      <c r="B15" s="54"/>
      <c r="C15" s="55"/>
      <c r="D15" s="50"/>
      <c r="E15" s="51" t="s">
        <v>38</v>
      </c>
      <c r="F15" s="59">
        <f>SUM(F5:F14)</f>
        <v>625898.50999999978</v>
      </c>
    </row>
    <row r="16" spans="1:6" ht="18.75">
      <c r="A16" s="306" t="s">
        <v>39</v>
      </c>
      <c r="B16" s="306"/>
      <c r="C16" s="306"/>
      <c r="D16" s="306"/>
      <c r="E16" s="306"/>
      <c r="F16" s="59">
        <f>ROUND((F15*18%),2)</f>
        <v>112661.73</v>
      </c>
    </row>
    <row r="17" spans="1:6" ht="18.75">
      <c r="A17" s="306" t="s">
        <v>10</v>
      </c>
      <c r="B17" s="306" t="s">
        <v>10</v>
      </c>
      <c r="C17" s="306"/>
      <c r="D17" s="306"/>
      <c r="E17" s="306"/>
      <c r="F17" s="59">
        <f>F15+F16</f>
        <v>738560.23999999976</v>
      </c>
    </row>
    <row r="18" spans="1:6" ht="18.75">
      <c r="A18" s="306" t="s">
        <v>40</v>
      </c>
      <c r="B18" s="306" t="s">
        <v>41</v>
      </c>
      <c r="C18" s="306"/>
      <c r="D18" s="306"/>
      <c r="E18" s="306"/>
      <c r="F18" s="59">
        <f>ROUND((F17*1%),2)</f>
        <v>7385.6</v>
      </c>
    </row>
    <row r="19" spans="1:6" ht="18.75">
      <c r="A19" s="306" t="s">
        <v>10</v>
      </c>
      <c r="B19" s="306" t="s">
        <v>10</v>
      </c>
      <c r="C19" s="306"/>
      <c r="D19" s="306"/>
      <c r="E19" s="306"/>
      <c r="F19" s="59">
        <f>F17+F18</f>
        <v>745945.83999999973</v>
      </c>
    </row>
    <row r="20" spans="1:6" ht="18.75">
      <c r="A20" s="306" t="s">
        <v>42</v>
      </c>
      <c r="B20" s="306" t="s">
        <v>42</v>
      </c>
      <c r="C20" s="306"/>
      <c r="D20" s="306"/>
      <c r="E20" s="306"/>
      <c r="F20" s="59">
        <f>ROUND((F19),0)</f>
        <v>745946</v>
      </c>
    </row>
  </sheetData>
  <mergeCells count="8">
    <mergeCell ref="A19:E19"/>
    <mergeCell ref="A20:E20"/>
    <mergeCell ref="A1:F1"/>
    <mergeCell ref="A2:F2"/>
    <mergeCell ref="A3:F3"/>
    <mergeCell ref="A16:E16"/>
    <mergeCell ref="A17:E17"/>
    <mergeCell ref="A18:E18"/>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A1:G25"/>
  <sheetViews>
    <sheetView topLeftCell="A19" workbookViewId="0">
      <selection activeCell="B5" sqref="B5"/>
    </sheetView>
  </sheetViews>
  <sheetFormatPr defaultRowHeight="15"/>
  <cols>
    <col min="1" max="1" width="8.85546875" style="60" customWidth="1"/>
    <col min="2" max="2" width="42.85546875" style="61" customWidth="1"/>
    <col min="3" max="3" width="13.7109375" style="44" customWidth="1"/>
    <col min="4" max="4" width="9.140625" style="62"/>
    <col min="5" max="5" width="12.140625" style="44" customWidth="1"/>
    <col min="6" max="6" width="16.42578125" style="64" customWidth="1"/>
    <col min="7" max="7" width="22.140625" style="44" hidden="1" customWidth="1"/>
    <col min="8" max="16384" width="9.140625" style="44"/>
  </cols>
  <sheetData>
    <row r="1" spans="1:6" ht="18.75">
      <c r="A1" s="308" t="s">
        <v>0</v>
      </c>
      <c r="B1" s="308"/>
      <c r="C1" s="308"/>
      <c r="D1" s="308"/>
      <c r="E1" s="308"/>
      <c r="F1" s="308"/>
    </row>
    <row r="2" spans="1:6" ht="18.75">
      <c r="A2" s="308" t="s">
        <v>22</v>
      </c>
      <c r="B2" s="308"/>
      <c r="C2" s="308"/>
      <c r="D2" s="308"/>
      <c r="E2" s="308"/>
      <c r="F2" s="308"/>
    </row>
    <row r="3" spans="1:6" ht="18.75">
      <c r="A3" s="309" t="s">
        <v>45</v>
      </c>
      <c r="B3" s="309"/>
      <c r="C3" s="309"/>
      <c r="D3" s="309"/>
      <c r="E3" s="309"/>
      <c r="F3" s="309"/>
    </row>
    <row r="4" spans="1:6">
      <c r="A4" s="45" t="s">
        <v>23</v>
      </c>
      <c r="B4" s="45" t="s">
        <v>24</v>
      </c>
      <c r="C4" s="45" t="s">
        <v>25</v>
      </c>
      <c r="D4" s="45" t="s">
        <v>5</v>
      </c>
      <c r="E4" s="45" t="s">
        <v>26</v>
      </c>
      <c r="F4" s="45" t="s">
        <v>27</v>
      </c>
    </row>
    <row r="5" spans="1:6" ht="75">
      <c r="A5" s="47" t="str">
        <f>[5]Drain!A5</f>
        <v>1            5.10.1</v>
      </c>
      <c r="B5" s="48" t="str">
        <f>[5]Drain!B5</f>
        <v xml:space="preserve">Dismantling plain cement or lime concrete work including stacking serviceable materials in countable stacks within 15M.lead and disposal of unserviceable materials with all leads complete  as per direction of E/I.              </v>
      </c>
      <c r="C5" s="49">
        <v>3.21</v>
      </c>
      <c r="D5" s="50" t="str">
        <f>D7</f>
        <v>M3</v>
      </c>
      <c r="E5" s="49">
        <f>[5]Drain!I8</f>
        <v>955.89</v>
      </c>
      <c r="F5" s="49">
        <f>ROUND((C5*E5),2)</f>
        <v>3068.41</v>
      </c>
    </row>
    <row r="6" spans="1:6" ht="120">
      <c r="A6" s="47" t="str">
        <f>[5]Drain!A9</f>
        <v>2            5.1.1</v>
      </c>
      <c r="B6" s="48" t="str">
        <f>[5]Drain!B9</f>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
      <c r="C6" s="49">
        <v>98.69</v>
      </c>
      <c r="D6" s="50" t="str">
        <f>D7</f>
        <v>M3</v>
      </c>
      <c r="E6" s="49">
        <f>[5]Drain!I13</f>
        <v>151.82</v>
      </c>
      <c r="F6" s="49">
        <f>ROUND((C6*E6),2)</f>
        <v>14983.12</v>
      </c>
    </row>
    <row r="7" spans="1:6" ht="120">
      <c r="A7" s="47" t="str">
        <f>[5]Drain!A14</f>
        <v>34/M004</v>
      </c>
      <c r="B7" s="48" t="str">
        <f>[6]Sheet1!B9</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7" s="49">
        <v>5.28</v>
      </c>
      <c r="D7" s="50" t="s">
        <v>28</v>
      </c>
      <c r="E7" s="49">
        <f>[6]Sheet1!I12</f>
        <v>347.85</v>
      </c>
      <c r="F7" s="49">
        <f t="shared" ref="F7:F20" si="0">ROUND((C7*E7),2)</f>
        <v>1836.65</v>
      </c>
    </row>
    <row r="8" spans="1:6" ht="90">
      <c r="A8" s="47" t="str">
        <f>[5]Drain!A19</f>
        <v>45.6.8</v>
      </c>
      <c r="B8" s="48" t="str">
        <f>[6]Sheet1!B13</f>
        <v>Supplying and laying (properly as per design and drawing) rip-rap with good  quality of boulders duly packed including the cost of materials, royalty all taxes etc. but excluding the cost of carriage all complete as per specification and direction of E/I.</v>
      </c>
      <c r="C8" s="49">
        <v>8.66</v>
      </c>
      <c r="D8" s="50" t="s">
        <v>28</v>
      </c>
      <c r="E8" s="49">
        <f>[6]Sheet1!I16</f>
        <v>1756.4</v>
      </c>
      <c r="F8" s="49">
        <f t="shared" si="0"/>
        <v>15210.42</v>
      </c>
    </row>
    <row r="9" spans="1:6" ht="90">
      <c r="A9" s="47" t="str">
        <f>[5]Drain!A24</f>
        <v>55.3.10</v>
      </c>
      <c r="B9" s="48" t="str">
        <f>[6]Sheet1!B17</f>
        <v>Providing and laying in position cement concrete of specified grade excluding the cost of centering and shuttering - All work up to plinth level1:1.5:3 (1 Cement : 1.5 coarse sand zone(III): 3 graded stone aggregate 20mm nominal size)</v>
      </c>
      <c r="C9" s="49">
        <v>32.75</v>
      </c>
      <c r="D9" s="50" t="s">
        <v>28</v>
      </c>
      <c r="E9" s="49">
        <f>[5]Drain!I30</f>
        <v>6082.45</v>
      </c>
      <c r="F9" s="49">
        <f t="shared" si="0"/>
        <v>199200.24</v>
      </c>
    </row>
    <row r="10" spans="1:6" ht="105">
      <c r="A10" s="47" t="str">
        <f>[5]Drain!A31</f>
        <v>6 5.3.11</v>
      </c>
      <c r="B10" s="48" t="str">
        <f>[5]Drain!B31</f>
        <v>Renforced cement conrete work in beams, suspended floors, having slopeup to 15' landing, balconies, shelves, chajjas, lintels, bands, plain windowsill ---------do----do-------E/I1:1.5:3 (1 Cement : 1.5 coarse sand zone(III): 3 graded stone aggregate 20mm nominal size)</v>
      </c>
      <c r="C10" s="49">
        <v>14.16</v>
      </c>
      <c r="D10" s="50" t="str">
        <f>D9</f>
        <v>M3</v>
      </c>
      <c r="E10" s="49">
        <f>[5]Drain!I35</f>
        <v>6308.87</v>
      </c>
      <c r="F10" s="49">
        <f t="shared" si="0"/>
        <v>89333.6</v>
      </c>
    </row>
    <row r="11" spans="1:6" ht="120">
      <c r="A11" s="47">
        <f>[5]Drain!A36</f>
        <v>7</v>
      </c>
      <c r="B11" s="48" t="str">
        <f>[5]Drain!B36</f>
        <v>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v>
      </c>
      <c r="C11" s="49"/>
      <c r="D11" s="50"/>
      <c r="E11" s="49"/>
      <c r="F11" s="49"/>
    </row>
    <row r="12" spans="1:6">
      <c r="A12" s="47" t="str">
        <f>[5]Drain!A41</f>
        <v>(A)5.5.4</v>
      </c>
      <c r="B12" s="48" t="s">
        <v>29</v>
      </c>
      <c r="C12" s="52">
        <v>1.4910000000000001</v>
      </c>
      <c r="D12" s="50" t="str">
        <f>[5]Drain!H41</f>
        <v>M.T.</v>
      </c>
      <c r="E12" s="49">
        <f>[5]Drain!I41</f>
        <v>83314.02</v>
      </c>
      <c r="F12" s="49">
        <f t="shared" si="0"/>
        <v>124221.2</v>
      </c>
    </row>
    <row r="13" spans="1:6" ht="30">
      <c r="A13" s="47" t="str">
        <f>[5]Drain!A42</f>
        <v>(B)5.5.5(a)</v>
      </c>
      <c r="B13" s="48" t="s">
        <v>30</v>
      </c>
      <c r="C13" s="52">
        <v>2.2360000000000002</v>
      </c>
      <c r="D13" s="50" t="str">
        <f>D12</f>
        <v>M.T.</v>
      </c>
      <c r="E13" s="49">
        <f>[5]Drain!I42</f>
        <v>82096.539999999994</v>
      </c>
      <c r="F13" s="49">
        <f t="shared" si="0"/>
        <v>183567.86</v>
      </c>
    </row>
    <row r="14" spans="1:6" ht="60">
      <c r="A14" s="47" t="str">
        <f>[5]Drain!A44</f>
        <v>85.3.17.1</v>
      </c>
      <c r="B14" s="48" t="str">
        <f>[5]Drain!B44</f>
        <v>Centering and Shuttering including strutting, propping etc and removal of from for   Foundation , footing , bases of columns etc for mass concrete.</v>
      </c>
      <c r="C14" s="49">
        <v>199.59</v>
      </c>
      <c r="D14" s="50" t="str">
        <f>[5]Drain!H50</f>
        <v>m2</v>
      </c>
      <c r="E14" s="49">
        <f>[5]Drain!I50</f>
        <v>194.5</v>
      </c>
      <c r="F14" s="49">
        <f t="shared" si="0"/>
        <v>38820.26</v>
      </c>
    </row>
    <row r="15" spans="1:6">
      <c r="A15" s="53">
        <v>6</v>
      </c>
      <c r="B15" s="54" t="s">
        <v>33</v>
      </c>
      <c r="C15" s="55"/>
      <c r="D15" s="50"/>
      <c r="E15" s="49"/>
      <c r="F15" s="49"/>
    </row>
    <row r="16" spans="1:6">
      <c r="A16" s="56" t="s">
        <v>17</v>
      </c>
      <c r="B16" s="57" t="s">
        <v>34</v>
      </c>
      <c r="C16" s="49">
        <v>20.170000000000002</v>
      </c>
      <c r="D16" s="50" t="s">
        <v>28</v>
      </c>
      <c r="E16" s="49">
        <f>[6]Sheet1!I26</f>
        <v>848.82</v>
      </c>
      <c r="F16" s="49">
        <f t="shared" si="0"/>
        <v>17120.7</v>
      </c>
    </row>
    <row r="17" spans="1:6">
      <c r="A17" s="56" t="s">
        <v>18</v>
      </c>
      <c r="B17" s="57" t="str">
        <f>[5]Drain!B53</f>
        <v>Stone Dust (Lead 22 KM)</v>
      </c>
      <c r="C17" s="49">
        <v>5.28</v>
      </c>
      <c r="D17" s="50" t="s">
        <v>28</v>
      </c>
      <c r="E17" s="49">
        <f>[6]Sheet1!I27</f>
        <v>447.06</v>
      </c>
      <c r="F17" s="49">
        <f t="shared" si="0"/>
        <v>2360.48</v>
      </c>
    </row>
    <row r="18" spans="1:6">
      <c r="A18" s="56" t="s">
        <v>19</v>
      </c>
      <c r="B18" s="57" t="s">
        <v>35</v>
      </c>
      <c r="C18" s="49">
        <v>8.66</v>
      </c>
      <c r="D18" s="50" t="s">
        <v>28</v>
      </c>
      <c r="E18" s="49">
        <f>[6]Sheet1!I28</f>
        <v>679.66</v>
      </c>
      <c r="F18" s="49">
        <f t="shared" si="0"/>
        <v>5885.86</v>
      </c>
    </row>
    <row r="19" spans="1:6">
      <c r="A19" s="56" t="s">
        <v>20</v>
      </c>
      <c r="B19" s="57" t="s">
        <v>36</v>
      </c>
      <c r="C19" s="49">
        <v>40.35</v>
      </c>
      <c r="D19" s="50" t="s">
        <v>28</v>
      </c>
      <c r="E19" s="49">
        <f>[6]Sheet1!I29</f>
        <v>447.06</v>
      </c>
      <c r="F19" s="49">
        <f t="shared" si="0"/>
        <v>18038.87</v>
      </c>
    </row>
    <row r="20" spans="1:6">
      <c r="A20" s="56" t="s">
        <v>21</v>
      </c>
      <c r="B20" s="57" t="s">
        <v>37</v>
      </c>
      <c r="C20" s="49">
        <v>98.69</v>
      </c>
      <c r="D20" s="50" t="s">
        <v>28</v>
      </c>
      <c r="E20" s="49">
        <f>[6]Sheet1!I30</f>
        <v>117.54</v>
      </c>
      <c r="F20" s="49">
        <f t="shared" si="0"/>
        <v>11600.02</v>
      </c>
    </row>
    <row r="21" spans="1:6">
      <c r="A21" s="48"/>
      <c r="B21" s="48"/>
      <c r="C21" s="48"/>
      <c r="D21" s="48"/>
      <c r="E21" s="48" t="s">
        <v>38</v>
      </c>
      <c r="F21" s="48">
        <f>SUM(F5:F20)</f>
        <v>725247.69</v>
      </c>
    </row>
    <row r="22" spans="1:6">
      <c r="A22" s="53"/>
      <c r="B22" s="54"/>
      <c r="C22" s="55"/>
      <c r="D22" s="50"/>
      <c r="E22" s="48" t="s">
        <v>46</v>
      </c>
      <c r="F22" s="48">
        <f>F21*18/100</f>
        <v>130544.58419999998</v>
      </c>
    </row>
    <row r="23" spans="1:6">
      <c r="A23" s="53"/>
      <c r="B23" s="54"/>
      <c r="C23" s="55"/>
      <c r="D23" s="50"/>
      <c r="E23" s="48"/>
      <c r="F23" s="48">
        <f>F22+F21</f>
        <v>855792.27419999987</v>
      </c>
    </row>
    <row r="24" spans="1:6">
      <c r="A24" s="53"/>
      <c r="B24" s="54"/>
      <c r="C24" s="55"/>
      <c r="D24" s="50"/>
      <c r="E24" s="48" t="s">
        <v>47</v>
      </c>
      <c r="F24" s="48">
        <f>F23*1/100</f>
        <v>8557.9227419999988</v>
      </c>
    </row>
    <row r="25" spans="1:6">
      <c r="A25" s="53"/>
      <c r="B25" s="54"/>
      <c r="C25" s="55"/>
      <c r="D25" s="50"/>
      <c r="E25" s="48" t="s">
        <v>38</v>
      </c>
      <c r="F25" s="48">
        <f>F24+F23</f>
        <v>864350.19694199983</v>
      </c>
    </row>
  </sheetData>
  <mergeCells count="3">
    <mergeCell ref="A1:F1"/>
    <mergeCell ref="A2:F2"/>
    <mergeCell ref="A3:F3"/>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25"/>
  <sheetViews>
    <sheetView workbookViewId="0">
      <selection activeCell="E4" sqref="E4"/>
    </sheetView>
  </sheetViews>
  <sheetFormatPr defaultColWidth="9.140625" defaultRowHeight="15"/>
  <cols>
    <col min="1" max="1" width="9.28515625" style="60" bestFit="1" customWidth="1"/>
    <col min="2" max="2" width="42.28515625" style="61" customWidth="1"/>
    <col min="3" max="3" width="9.140625" style="44" customWidth="1"/>
    <col min="4" max="4" width="9.140625" style="62"/>
    <col min="5" max="5" width="11.28515625" style="63" bestFit="1" customWidth="1"/>
    <col min="6" max="6" width="18.5703125" style="63" bestFit="1" customWidth="1"/>
    <col min="7" max="16384" width="9.140625" style="44"/>
  </cols>
  <sheetData>
    <row r="1" spans="1:6" ht="60.75" customHeight="1">
      <c r="A1" s="307" t="s">
        <v>0</v>
      </c>
      <c r="B1" s="307"/>
      <c r="C1" s="307"/>
      <c r="D1" s="307"/>
      <c r="E1" s="307"/>
      <c r="F1" s="307"/>
    </row>
    <row r="2" spans="1:6" ht="18.75">
      <c r="A2" s="308" t="s">
        <v>22</v>
      </c>
      <c r="B2" s="308"/>
      <c r="C2" s="308"/>
      <c r="D2" s="308"/>
      <c r="E2" s="308"/>
      <c r="F2" s="308"/>
    </row>
    <row r="3" spans="1:6" ht="55.5" customHeight="1">
      <c r="A3" s="309" t="str">
        <f>[9]Drain!A3</f>
        <v>Name of Work :-Construction of RCC Drain at Jora Talab Tower Gali from house of Mustaq Khan to house of Chun Chun under ward no-09</v>
      </c>
      <c r="B3" s="309"/>
      <c r="C3" s="309"/>
      <c r="D3" s="309"/>
      <c r="E3" s="309"/>
      <c r="F3" s="309"/>
    </row>
    <row r="4" spans="1:6">
      <c r="A4" s="45" t="s">
        <v>23</v>
      </c>
      <c r="B4" s="45" t="s">
        <v>24</v>
      </c>
      <c r="C4" s="45" t="s">
        <v>25</v>
      </c>
      <c r="D4" s="45" t="s">
        <v>5</v>
      </c>
      <c r="E4" s="46" t="s">
        <v>26</v>
      </c>
      <c r="F4" s="46" t="s">
        <v>27</v>
      </c>
    </row>
    <row r="5" spans="1:6" ht="120">
      <c r="A5" s="47" t="str">
        <f>[9]Drain!A5</f>
        <v>1           5.1.1</v>
      </c>
      <c r="B5" s="48" t="str">
        <f>[9]Drain!B5</f>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
      <c r="C5" s="49">
        <f>[9]Drain!G8</f>
        <v>62.11</v>
      </c>
      <c r="D5" s="50" t="str">
        <f>D6</f>
        <v>M3</v>
      </c>
      <c r="E5" s="51">
        <f>[9]Drain!I8</f>
        <v>151.82</v>
      </c>
      <c r="F5" s="51">
        <f>ROUND((C5*E5),2)</f>
        <v>9429.5400000000009</v>
      </c>
    </row>
    <row r="6" spans="1:6" ht="120">
      <c r="A6" s="47" t="str">
        <f>[9]Drain!A9</f>
        <v>24/M004</v>
      </c>
      <c r="B6" s="48" t="str">
        <f>[6]Sheet1!B9</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6" s="49">
        <f>[9]Drain!G12</f>
        <v>3.85</v>
      </c>
      <c r="D6" s="50" t="s">
        <v>28</v>
      </c>
      <c r="E6" s="51">
        <f>[6]Sheet1!I12</f>
        <v>347.85</v>
      </c>
      <c r="F6" s="51">
        <f t="shared" ref="F6:F19" si="0">ROUND((C6*E6),2)</f>
        <v>1339.22</v>
      </c>
    </row>
    <row r="7" spans="1:6" ht="90">
      <c r="A7" s="47" t="str">
        <f>[9]Drain!A13</f>
        <v>35.6.8</v>
      </c>
      <c r="B7" s="48" t="str">
        <f>[6]Sheet1!B13</f>
        <v>Supplying and laying (properly as per design and drawing) rip-rap with good  quality of boulders duly packed including the cost of materials, royalty all taxes etc. but excluding the cost of carriage all complete as per specification and direction of E/I.</v>
      </c>
      <c r="C7" s="49">
        <f>[9]Drain!G16</f>
        <v>9.8699999999999992</v>
      </c>
      <c r="D7" s="50" t="s">
        <v>28</v>
      </c>
      <c r="E7" s="51">
        <f>[6]Sheet1!I16</f>
        <v>1756.4</v>
      </c>
      <c r="F7" s="51">
        <f t="shared" si="0"/>
        <v>17335.669999999998</v>
      </c>
    </row>
    <row r="8" spans="1:6" ht="90">
      <c r="A8" s="47" t="str">
        <f>[9]Drain!A17</f>
        <v>45.3.10</v>
      </c>
      <c r="B8" s="48" t="str">
        <f>[6]Sheet1!B17</f>
        <v>Providing and laying in position cement concrete of specified grade excluding the cost of centering and shuttering - All work up to plinth level1:1.5:3 (1 Cement : 1.5 coarse sand zone(III): 3 graded stone aggregate 20mm nominal size)</v>
      </c>
      <c r="C8" s="49">
        <f>[9]Drain!G21</f>
        <v>26</v>
      </c>
      <c r="D8" s="50" t="s">
        <v>28</v>
      </c>
      <c r="E8" s="51">
        <f>[9]Drain!I21</f>
        <v>6082.45</v>
      </c>
      <c r="F8" s="51">
        <f t="shared" si="0"/>
        <v>158143.70000000001</v>
      </c>
    </row>
    <row r="9" spans="1:6" ht="105">
      <c r="A9" s="47" t="str">
        <f>[9]Drain!A22</f>
        <v>5 5.3.11</v>
      </c>
      <c r="B9" s="48" t="str">
        <f>[9]Drain!B22</f>
        <v>Renforced cement conrete work in beams, suspended floors, having slopeup to 15' landing, balconies, shelves, chajjas, lintels, bands, plain windowsill ---------do----do-------E/I1:1.5:3 (1 Cement : 1.5 coarse sand zone(III): 3 graded stone aggregate 20mm nominal size)</v>
      </c>
      <c r="C9" s="49">
        <f>[9]Drain!G25</f>
        <v>12.04</v>
      </c>
      <c r="D9" s="50" t="str">
        <f>D8</f>
        <v>M3</v>
      </c>
      <c r="E9" s="51">
        <f>[9]Drain!I25</f>
        <v>6308.87</v>
      </c>
      <c r="F9" s="51">
        <f t="shared" si="0"/>
        <v>75958.789999999994</v>
      </c>
    </row>
    <row r="10" spans="1:6" ht="135">
      <c r="A10" s="47">
        <f>[9]Drain!A26</f>
        <v>6</v>
      </c>
      <c r="B10" s="48" t="str">
        <f>[9]Drain!B26</f>
        <v>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v>
      </c>
      <c r="C10" s="49"/>
      <c r="D10" s="50"/>
      <c r="E10" s="51"/>
      <c r="F10" s="51"/>
    </row>
    <row r="11" spans="1:6">
      <c r="A11" s="47" t="str">
        <f>[9]Drain!A31</f>
        <v>(A)5.5.4</v>
      </c>
      <c r="B11" s="48" t="str">
        <f>[9]Drain!B31</f>
        <v>08mm dia 40%</v>
      </c>
      <c r="C11" s="52">
        <f>[9]Drain!G31</f>
        <v>1.2090000000000001</v>
      </c>
      <c r="D11" s="50" t="str">
        <f>[9]Drain!H31</f>
        <v>M.T.</v>
      </c>
      <c r="E11" s="51">
        <f>[9]Drain!I31</f>
        <v>83314.02</v>
      </c>
      <c r="F11" s="51">
        <f t="shared" si="0"/>
        <v>100726.65</v>
      </c>
    </row>
    <row r="12" spans="1:6" ht="30">
      <c r="A12" s="47" t="str">
        <f>[9]Drain!A32</f>
        <v>(B)5.5.5(a)</v>
      </c>
      <c r="B12" s="48" t="str">
        <f>[9]Drain!B32</f>
        <v>10mm dia 60%</v>
      </c>
      <c r="C12" s="52">
        <f>[9]Drain!G32</f>
        <v>1.8129999999999999</v>
      </c>
      <c r="D12" s="50" t="str">
        <f>D11</f>
        <v>M.T.</v>
      </c>
      <c r="E12" s="51">
        <f>[9]Drain!I32</f>
        <v>82096.539999999994</v>
      </c>
      <c r="F12" s="51">
        <f t="shared" si="0"/>
        <v>148841.03</v>
      </c>
    </row>
    <row r="13" spans="1:6" ht="60">
      <c r="A13" s="47" t="str">
        <f>[9]Drain!A34</f>
        <v>75.3.17.1</v>
      </c>
      <c r="B13" s="48" t="str">
        <f>[9]Drain!B34</f>
        <v>Centering and Shuttering including strutting, propping etc and removal of from for   Foundation , footing , bases of columns etc for mass concrete.</v>
      </c>
      <c r="C13" s="49">
        <f>[9]Drain!G38</f>
        <v>276.49</v>
      </c>
      <c r="D13" s="50" t="str">
        <f>[9]Drain!H38</f>
        <v>m2</v>
      </c>
      <c r="E13" s="51">
        <f>[9]Drain!I38</f>
        <v>194.5</v>
      </c>
      <c r="F13" s="51">
        <f t="shared" si="0"/>
        <v>53777.31</v>
      </c>
    </row>
    <row r="14" spans="1:6">
      <c r="A14" s="53">
        <v>6</v>
      </c>
      <c r="B14" s="54" t="s">
        <v>33</v>
      </c>
      <c r="C14" s="55"/>
      <c r="D14" s="50"/>
      <c r="E14" s="51"/>
      <c r="F14" s="51"/>
    </row>
    <row r="15" spans="1:6">
      <c r="A15" s="56" t="s">
        <v>17</v>
      </c>
      <c r="B15" s="57" t="s">
        <v>34</v>
      </c>
      <c r="C15" s="49">
        <f>[9]Drain!G40</f>
        <v>16.36</v>
      </c>
      <c r="D15" s="50" t="s">
        <v>28</v>
      </c>
      <c r="E15" s="58">
        <f>[6]Sheet1!I26</f>
        <v>848.82</v>
      </c>
      <c r="F15" s="51">
        <f t="shared" si="0"/>
        <v>13886.7</v>
      </c>
    </row>
    <row r="16" spans="1:6">
      <c r="A16" s="56" t="s">
        <v>18</v>
      </c>
      <c r="B16" s="57" t="str">
        <f>[9]Drain!B41</f>
        <v>Stone Dust (Lead 22 KM)</v>
      </c>
      <c r="C16" s="49">
        <f>[9]Drain!G41</f>
        <v>3.85</v>
      </c>
      <c r="D16" s="50" t="s">
        <v>28</v>
      </c>
      <c r="E16" s="58">
        <f>[6]Sheet1!I27</f>
        <v>447.06</v>
      </c>
      <c r="F16" s="51">
        <f t="shared" si="0"/>
        <v>1721.18</v>
      </c>
    </row>
    <row r="17" spans="1:6">
      <c r="A17" s="56" t="s">
        <v>19</v>
      </c>
      <c r="B17" s="57" t="s">
        <v>35</v>
      </c>
      <c r="C17" s="49">
        <f>[9]Drain!G42</f>
        <v>9.8699999999999992</v>
      </c>
      <c r="D17" s="50" t="s">
        <v>28</v>
      </c>
      <c r="E17" s="58">
        <f>[6]Sheet1!I28</f>
        <v>679.66</v>
      </c>
      <c r="F17" s="51">
        <f t="shared" si="0"/>
        <v>6708.24</v>
      </c>
    </row>
    <row r="18" spans="1:6">
      <c r="A18" s="56" t="s">
        <v>20</v>
      </c>
      <c r="B18" s="57" t="s">
        <v>36</v>
      </c>
      <c r="C18" s="49">
        <f>[9]Drain!G43</f>
        <v>32.71</v>
      </c>
      <c r="D18" s="50" t="s">
        <v>28</v>
      </c>
      <c r="E18" s="58">
        <f>[6]Sheet1!I29</f>
        <v>447.06</v>
      </c>
      <c r="F18" s="51">
        <f t="shared" si="0"/>
        <v>14623.33</v>
      </c>
    </row>
    <row r="19" spans="1:6">
      <c r="A19" s="56" t="s">
        <v>21</v>
      </c>
      <c r="B19" s="57" t="s">
        <v>37</v>
      </c>
      <c r="C19" s="49">
        <f>[9]Drain!G44</f>
        <v>62.11</v>
      </c>
      <c r="D19" s="50" t="s">
        <v>28</v>
      </c>
      <c r="E19" s="58">
        <f>[6]Sheet1!I30</f>
        <v>117.54</v>
      </c>
      <c r="F19" s="51">
        <f t="shared" si="0"/>
        <v>7300.41</v>
      </c>
    </row>
    <row r="20" spans="1:6" ht="18.75">
      <c r="A20" s="53"/>
      <c r="B20" s="54"/>
      <c r="C20" s="55"/>
      <c r="D20" s="50"/>
      <c r="E20" s="51" t="s">
        <v>38</v>
      </c>
      <c r="F20" s="59">
        <f>SUM(F5:F19)</f>
        <v>609791.7699999999</v>
      </c>
    </row>
    <row r="21" spans="1:6" ht="18.75">
      <c r="A21" s="306" t="s">
        <v>39</v>
      </c>
      <c r="B21" s="306"/>
      <c r="C21" s="306"/>
      <c r="D21" s="306"/>
      <c r="E21" s="306"/>
      <c r="F21" s="59">
        <f>ROUND((F20*18%),2)</f>
        <v>109762.52</v>
      </c>
    </row>
    <row r="22" spans="1:6" ht="18.75">
      <c r="A22" s="306" t="s">
        <v>10</v>
      </c>
      <c r="B22" s="306" t="s">
        <v>10</v>
      </c>
      <c r="C22" s="306"/>
      <c r="D22" s="306"/>
      <c r="E22" s="306"/>
      <c r="F22" s="59">
        <f>F20+F21</f>
        <v>719554.28999999992</v>
      </c>
    </row>
    <row r="23" spans="1:6" ht="18.75">
      <c r="A23" s="306" t="s">
        <v>40</v>
      </c>
      <c r="B23" s="306" t="s">
        <v>41</v>
      </c>
      <c r="C23" s="306"/>
      <c r="D23" s="306"/>
      <c r="E23" s="306"/>
      <c r="F23" s="59">
        <f>ROUND((F22*1%),2)</f>
        <v>7195.54</v>
      </c>
    </row>
    <row r="24" spans="1:6" ht="18.75">
      <c r="A24" s="306" t="s">
        <v>10</v>
      </c>
      <c r="B24" s="306" t="s">
        <v>10</v>
      </c>
      <c r="C24" s="306"/>
      <c r="D24" s="306"/>
      <c r="E24" s="306"/>
      <c r="F24" s="59">
        <f>F22+F23</f>
        <v>726749.83</v>
      </c>
    </row>
    <row r="25" spans="1:6" ht="18.75">
      <c r="A25" s="306" t="s">
        <v>42</v>
      </c>
      <c r="B25" s="306" t="s">
        <v>42</v>
      </c>
      <c r="C25" s="306"/>
      <c r="D25" s="306"/>
      <c r="E25" s="306"/>
      <c r="F25" s="59">
        <f>ROUND((F24),0)</f>
        <v>726750</v>
      </c>
    </row>
  </sheetData>
  <mergeCells count="8">
    <mergeCell ref="A24:E24"/>
    <mergeCell ref="A25:E25"/>
    <mergeCell ref="A1:F1"/>
    <mergeCell ref="A2:F2"/>
    <mergeCell ref="A3:F3"/>
    <mergeCell ref="A21:E21"/>
    <mergeCell ref="A22:E22"/>
    <mergeCell ref="A23:E2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A1:F23"/>
  <sheetViews>
    <sheetView workbookViewId="0">
      <selection activeCell="A4" sqref="A4"/>
    </sheetView>
  </sheetViews>
  <sheetFormatPr defaultRowHeight="15"/>
  <cols>
    <col min="1" max="1" width="9.140625" style="60"/>
    <col min="2" max="2" width="44.5703125" style="61" customWidth="1"/>
    <col min="3" max="3" width="9.140625" style="44"/>
    <col min="4" max="4" width="9.140625" style="62"/>
    <col min="5" max="5" width="9.140625" style="44"/>
    <col min="6" max="6" width="16.42578125" style="64" customWidth="1"/>
    <col min="7" max="16384" width="9.140625" style="44"/>
  </cols>
  <sheetData>
    <row r="1" spans="1:6" ht="18.75">
      <c r="A1" s="308" t="s">
        <v>0</v>
      </c>
      <c r="B1" s="308"/>
      <c r="C1" s="308"/>
      <c r="D1" s="308"/>
      <c r="E1" s="308"/>
      <c r="F1" s="308"/>
    </row>
    <row r="2" spans="1:6" ht="18.75">
      <c r="A2" s="308" t="s">
        <v>22</v>
      </c>
      <c r="B2" s="308"/>
      <c r="C2" s="308"/>
      <c r="D2" s="308"/>
      <c r="E2" s="308"/>
      <c r="F2" s="308"/>
    </row>
    <row r="3" spans="1:6" ht="57.75" customHeight="1">
      <c r="A3" s="309" t="s">
        <v>282</v>
      </c>
      <c r="B3" s="309"/>
      <c r="C3" s="309"/>
      <c r="D3" s="309"/>
      <c r="E3" s="309"/>
      <c r="F3" s="309"/>
    </row>
    <row r="4" spans="1:6">
      <c r="A4" s="45" t="s">
        <v>23</v>
      </c>
      <c r="B4" s="45" t="s">
        <v>24</v>
      </c>
      <c r="C4" s="45" t="s">
        <v>25</v>
      </c>
      <c r="D4" s="45" t="s">
        <v>5</v>
      </c>
      <c r="E4" s="45" t="s">
        <v>26</v>
      </c>
      <c r="F4" s="45" t="s">
        <v>27</v>
      </c>
    </row>
    <row r="5" spans="1:6" ht="165">
      <c r="A5" s="48" t="s">
        <v>279</v>
      </c>
      <c r="B5" s="48" t="s">
        <v>150</v>
      </c>
      <c r="C5" s="48">
        <v>66.16</v>
      </c>
      <c r="D5" s="48" t="s">
        <v>8</v>
      </c>
      <c r="E5" s="48">
        <v>151.82</v>
      </c>
      <c r="F5" s="48">
        <f t="shared" ref="F5:F12" si="0">C5*E5</f>
        <v>10044.411199999999</v>
      </c>
    </row>
    <row r="6" spans="1:6" ht="120">
      <c r="A6" s="48" t="s">
        <v>280</v>
      </c>
      <c r="B6" s="48" t="s">
        <v>214</v>
      </c>
      <c r="C6" s="48">
        <v>4.21</v>
      </c>
      <c r="D6" s="48" t="s">
        <v>55</v>
      </c>
      <c r="E6" s="48">
        <v>347.85</v>
      </c>
      <c r="F6" s="48">
        <f t="shared" si="0"/>
        <v>1464.4485000000002</v>
      </c>
    </row>
    <row r="7" spans="1:6" ht="90">
      <c r="A7" s="48" t="s">
        <v>153</v>
      </c>
      <c r="B7" s="48" t="s">
        <v>154</v>
      </c>
      <c r="C7" s="48">
        <v>10.41</v>
      </c>
      <c r="D7" s="48" t="s">
        <v>8</v>
      </c>
      <c r="E7" s="48">
        <v>1756.4</v>
      </c>
      <c r="F7" s="48">
        <f t="shared" si="0"/>
        <v>18284.124</v>
      </c>
    </row>
    <row r="8" spans="1:6" ht="135">
      <c r="A8" s="48" t="s">
        <v>155</v>
      </c>
      <c r="B8" s="48" t="s">
        <v>156</v>
      </c>
      <c r="C8" s="48">
        <v>27.26</v>
      </c>
      <c r="D8" s="48" t="s">
        <v>28</v>
      </c>
      <c r="E8" s="48">
        <v>6082.45</v>
      </c>
      <c r="F8" s="48">
        <f t="shared" si="0"/>
        <v>165807.587</v>
      </c>
    </row>
    <row r="9" spans="1:6" ht="120">
      <c r="A9" s="48" t="s">
        <v>157</v>
      </c>
      <c r="B9" s="48" t="s">
        <v>105</v>
      </c>
      <c r="C9" s="48">
        <v>12.39</v>
      </c>
      <c r="D9" s="48" t="s">
        <v>55</v>
      </c>
      <c r="E9" s="48">
        <v>6308.87</v>
      </c>
      <c r="F9" s="48">
        <f t="shared" si="0"/>
        <v>78166.899300000005</v>
      </c>
    </row>
    <row r="10" spans="1:6" ht="120">
      <c r="A10" s="48" t="s">
        <v>158</v>
      </c>
      <c r="B10" s="48" t="s">
        <v>159</v>
      </c>
      <c r="C10" s="48">
        <v>1.9075</v>
      </c>
      <c r="D10" s="48" t="s">
        <v>160</v>
      </c>
      <c r="E10" s="48">
        <v>83314.02</v>
      </c>
      <c r="F10" s="48">
        <f t="shared" si="0"/>
        <v>158921.49314999999</v>
      </c>
    </row>
    <row r="11" spans="1:6">
      <c r="A11" s="48"/>
      <c r="B11" s="48" t="s">
        <v>161</v>
      </c>
      <c r="C11" s="48">
        <v>1.4</v>
      </c>
      <c r="D11" s="48" t="s">
        <v>160</v>
      </c>
      <c r="E11" s="48">
        <v>82096.539999999994</v>
      </c>
      <c r="F11" s="48">
        <f t="shared" si="0"/>
        <v>114935.15599999999</v>
      </c>
    </row>
    <row r="12" spans="1:6" ht="60">
      <c r="A12" s="48" t="s">
        <v>162</v>
      </c>
      <c r="B12" s="48" t="s">
        <v>163</v>
      </c>
      <c r="C12" s="48">
        <v>130.12</v>
      </c>
      <c r="D12" s="48" t="s">
        <v>85</v>
      </c>
      <c r="E12" s="48">
        <v>194.5</v>
      </c>
      <c r="F12" s="48">
        <f t="shared" si="0"/>
        <v>25308.34</v>
      </c>
    </row>
    <row r="13" spans="1:6">
      <c r="A13" s="48">
        <v>8</v>
      </c>
      <c r="B13" s="48" t="s">
        <v>16</v>
      </c>
      <c r="C13" s="48"/>
      <c r="D13" s="48"/>
      <c r="E13" s="48"/>
      <c r="F13" s="48"/>
    </row>
    <row r="14" spans="1:6">
      <c r="A14" s="48"/>
      <c r="B14" s="48" t="s">
        <v>164</v>
      </c>
      <c r="C14" s="48">
        <v>17.05</v>
      </c>
      <c r="D14" s="48" t="s">
        <v>8</v>
      </c>
      <c r="E14" s="48">
        <v>744.66</v>
      </c>
      <c r="F14" s="48">
        <f t="shared" ref="F14:F18" si="1">PRODUCT(C14:E14)</f>
        <v>12696.453</v>
      </c>
    </row>
    <row r="15" spans="1:6">
      <c r="A15" s="48"/>
      <c r="B15" s="48" t="s">
        <v>281</v>
      </c>
      <c r="C15" s="48">
        <v>4.21</v>
      </c>
      <c r="D15" s="48" t="s">
        <v>8</v>
      </c>
      <c r="E15" s="48">
        <v>342.9</v>
      </c>
      <c r="F15" s="48">
        <f t="shared" si="1"/>
        <v>1443.6089999999999</v>
      </c>
    </row>
    <row r="16" spans="1:6">
      <c r="A16" s="48"/>
      <c r="B16" s="48" t="s">
        <v>166</v>
      </c>
      <c r="C16" s="48">
        <v>34.1</v>
      </c>
      <c r="D16" s="48" t="s">
        <v>8</v>
      </c>
      <c r="E16" s="48">
        <v>342.9</v>
      </c>
      <c r="F16" s="48">
        <f t="shared" si="1"/>
        <v>11692.89</v>
      </c>
    </row>
    <row r="17" spans="1:6">
      <c r="A17" s="48"/>
      <c r="B17" s="48" t="s">
        <v>167</v>
      </c>
      <c r="C17" s="48">
        <v>10.41</v>
      </c>
      <c r="D17" s="48" t="s">
        <v>8</v>
      </c>
      <c r="E17" s="48">
        <v>570.94000000000005</v>
      </c>
      <c r="F17" s="48">
        <f t="shared" si="1"/>
        <v>5943.4854000000005</v>
      </c>
    </row>
    <row r="18" spans="1:6">
      <c r="A18" s="48"/>
      <c r="B18" s="48" t="s">
        <v>168</v>
      </c>
      <c r="C18" s="48">
        <v>66.16</v>
      </c>
      <c r="D18" s="48" t="s">
        <v>8</v>
      </c>
      <c r="E18" s="48">
        <v>117.54</v>
      </c>
      <c r="F18" s="48">
        <f t="shared" si="1"/>
        <v>7776.4463999999998</v>
      </c>
    </row>
    <row r="19" spans="1:6">
      <c r="A19" s="53"/>
      <c r="B19" s="54"/>
      <c r="C19" s="55"/>
      <c r="D19" s="50"/>
      <c r="E19" s="55" t="s">
        <v>38</v>
      </c>
      <c r="F19" s="49">
        <f>SUM(F5:F18)</f>
        <v>612485.34294999996</v>
      </c>
    </row>
    <row r="20" spans="1:6" ht="30">
      <c r="A20" s="53"/>
      <c r="B20" s="54"/>
      <c r="C20" s="55"/>
      <c r="D20" s="50"/>
      <c r="E20" s="48" t="s">
        <v>46</v>
      </c>
      <c r="F20" s="48">
        <f>F19*18/100</f>
        <v>110247.36173099998</v>
      </c>
    </row>
    <row r="21" spans="1:6">
      <c r="A21" s="53"/>
      <c r="B21" s="54"/>
      <c r="C21" s="55"/>
      <c r="D21" s="50"/>
      <c r="E21" s="48"/>
      <c r="F21" s="48">
        <f>F20+F19</f>
        <v>722732.70468099997</v>
      </c>
    </row>
    <row r="22" spans="1:6" ht="30">
      <c r="A22" s="53"/>
      <c r="B22" s="54"/>
      <c r="C22" s="55"/>
      <c r="D22" s="50"/>
      <c r="E22" s="48" t="s">
        <v>47</v>
      </c>
      <c r="F22" s="48">
        <f>F21*1/100</f>
        <v>7227.32704681</v>
      </c>
    </row>
    <row r="23" spans="1:6">
      <c r="A23" s="53"/>
      <c r="B23" s="54"/>
      <c r="C23" s="55"/>
      <c r="D23" s="50"/>
      <c r="E23" s="48" t="s">
        <v>169</v>
      </c>
      <c r="F23" s="48">
        <f>F22+F21</f>
        <v>729960.03172780992</v>
      </c>
    </row>
  </sheetData>
  <mergeCells count="3">
    <mergeCell ref="A1:F1"/>
    <mergeCell ref="A2:F2"/>
    <mergeCell ref="A3:F3"/>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H30"/>
  <sheetViews>
    <sheetView workbookViewId="0">
      <selection activeCell="A2" sqref="A2"/>
    </sheetView>
  </sheetViews>
  <sheetFormatPr defaultRowHeight="15"/>
  <cols>
    <col min="1" max="1" width="10.85546875" customWidth="1"/>
    <col min="2" max="2" width="50" customWidth="1"/>
    <col min="3" max="3" width="11.28515625" customWidth="1"/>
    <col min="4" max="4" width="5.5703125" bestFit="1" customWidth="1"/>
    <col min="5" max="5" width="11.42578125" bestFit="1" customWidth="1"/>
    <col min="6" max="6" width="19.28515625" customWidth="1"/>
  </cols>
  <sheetData>
    <row r="1" spans="1:8" ht="95.25" customHeight="1">
      <c r="A1" s="311" t="s">
        <v>283</v>
      </c>
      <c r="B1" s="311"/>
      <c r="C1" s="311"/>
      <c r="D1" s="311"/>
      <c r="E1" s="311"/>
      <c r="F1" s="311"/>
    </row>
    <row r="2" spans="1:8" ht="31.5">
      <c r="A2" s="180" t="s">
        <v>247</v>
      </c>
      <c r="B2" s="180" t="s">
        <v>248</v>
      </c>
      <c r="C2" s="243" t="s">
        <v>249</v>
      </c>
      <c r="D2" s="243" t="s">
        <v>250</v>
      </c>
      <c r="E2" s="243" t="s">
        <v>251</v>
      </c>
      <c r="F2" s="243" t="s">
        <v>252</v>
      </c>
    </row>
    <row r="3" spans="1:8" ht="31.5">
      <c r="A3" s="243">
        <v>1</v>
      </c>
      <c r="B3" s="244" t="s">
        <v>253</v>
      </c>
      <c r="C3" s="245">
        <v>10</v>
      </c>
      <c r="D3" s="245" t="s">
        <v>254</v>
      </c>
      <c r="E3" s="246">
        <v>326.85000000000002</v>
      </c>
      <c r="F3" s="246">
        <f>ROUND(C3*E3,2)</f>
        <v>3268.5</v>
      </c>
    </row>
    <row r="4" spans="1:8" ht="126">
      <c r="A4" s="243" t="s">
        <v>255</v>
      </c>
      <c r="B4" s="244" t="s">
        <v>256</v>
      </c>
      <c r="C4" s="247">
        <v>26.89</v>
      </c>
      <c r="D4" s="248" t="s">
        <v>8</v>
      </c>
      <c r="E4" s="249">
        <v>151.82</v>
      </c>
      <c r="F4" s="246">
        <f>C4*E4</f>
        <v>4082.4398000000001</v>
      </c>
    </row>
    <row r="5" spans="1:8" ht="95.45" customHeight="1">
      <c r="A5" s="243" t="s">
        <v>257</v>
      </c>
      <c r="B5" s="250" t="s">
        <v>14</v>
      </c>
      <c r="C5" s="247">
        <v>3.1</v>
      </c>
      <c r="D5" s="248" t="s">
        <v>8</v>
      </c>
      <c r="E5" s="249">
        <v>589.51</v>
      </c>
      <c r="F5" s="246">
        <f t="shared" ref="F5:F18" si="0">C5*E5</f>
        <v>1827.481</v>
      </c>
    </row>
    <row r="6" spans="1:8" ht="78.75">
      <c r="A6" s="243" t="s">
        <v>258</v>
      </c>
      <c r="B6" s="244" t="s">
        <v>154</v>
      </c>
      <c r="C6" s="247">
        <v>5.2</v>
      </c>
      <c r="D6" s="248" t="s">
        <v>8</v>
      </c>
      <c r="E6" s="249">
        <v>1756.4</v>
      </c>
      <c r="F6" s="246">
        <f t="shared" si="0"/>
        <v>9133.2800000000007</v>
      </c>
    </row>
    <row r="7" spans="1:8" ht="91.5" customHeight="1">
      <c r="A7" s="251" t="s">
        <v>259</v>
      </c>
      <c r="B7" s="252" t="s">
        <v>226</v>
      </c>
      <c r="C7" s="253">
        <v>13.63</v>
      </c>
      <c r="D7" s="254" t="s">
        <v>8</v>
      </c>
      <c r="E7" s="255">
        <v>6082.45</v>
      </c>
      <c r="F7" s="246">
        <f t="shared" si="0"/>
        <v>82903.7935</v>
      </c>
      <c r="H7" s="87"/>
    </row>
    <row r="8" spans="1:8" ht="117.95" customHeight="1">
      <c r="A8" s="251" t="s">
        <v>260</v>
      </c>
      <c r="B8" s="256" t="s">
        <v>261</v>
      </c>
      <c r="C8" s="124">
        <v>6.2</v>
      </c>
      <c r="D8" s="115" t="s">
        <v>8</v>
      </c>
      <c r="E8" s="125">
        <v>6308.87</v>
      </c>
      <c r="F8" s="246">
        <f t="shared" si="0"/>
        <v>39114.993999999999</v>
      </c>
    </row>
    <row r="9" spans="1:8" ht="78.75">
      <c r="A9" s="251" t="s">
        <v>262</v>
      </c>
      <c r="B9" s="257" t="s">
        <v>263</v>
      </c>
      <c r="C9" s="124"/>
      <c r="D9" s="115"/>
      <c r="E9" s="125"/>
      <c r="F9" s="246">
        <f t="shared" si="0"/>
        <v>0</v>
      </c>
    </row>
    <row r="10" spans="1:8" ht="15.75">
      <c r="A10" s="251"/>
      <c r="B10" s="244" t="s">
        <v>264</v>
      </c>
      <c r="C10" s="258">
        <v>1.05</v>
      </c>
      <c r="D10" s="115" t="s">
        <v>160</v>
      </c>
      <c r="E10" s="259">
        <v>82096.539999999994</v>
      </c>
      <c r="F10" s="246">
        <f t="shared" si="0"/>
        <v>86201.366999999998</v>
      </c>
    </row>
    <row r="11" spans="1:8" ht="15.75">
      <c r="A11" s="251"/>
      <c r="B11" s="244" t="s">
        <v>265</v>
      </c>
      <c r="C11" s="258">
        <v>0.7</v>
      </c>
      <c r="D11" s="115" t="s">
        <v>160</v>
      </c>
      <c r="E11" s="259">
        <v>83314.02</v>
      </c>
      <c r="F11" s="246">
        <f t="shared" si="0"/>
        <v>58319.813999999998</v>
      </c>
    </row>
    <row r="12" spans="1:8" ht="63">
      <c r="A12" s="243" t="s">
        <v>266</v>
      </c>
      <c r="B12" s="250" t="s">
        <v>203</v>
      </c>
      <c r="C12" s="253">
        <v>114</v>
      </c>
      <c r="D12" s="115" t="s">
        <v>9</v>
      </c>
      <c r="E12" s="125">
        <v>194.5</v>
      </c>
      <c r="F12" s="246">
        <f t="shared" si="0"/>
        <v>22173</v>
      </c>
    </row>
    <row r="13" spans="1:8" ht="24" customHeight="1">
      <c r="A13" s="243">
        <v>10</v>
      </c>
      <c r="B13" s="260" t="s">
        <v>16</v>
      </c>
      <c r="C13" s="261"/>
      <c r="D13" s="262"/>
      <c r="E13" s="263"/>
      <c r="F13" s="246">
        <f t="shared" si="0"/>
        <v>0</v>
      </c>
    </row>
    <row r="14" spans="1:8" ht="15.75">
      <c r="A14" s="243"/>
      <c r="B14" s="257" t="s">
        <v>267</v>
      </c>
      <c r="C14" s="261">
        <v>8.5299999999999994</v>
      </c>
      <c r="D14" s="262" t="s">
        <v>8</v>
      </c>
      <c r="E14" s="263">
        <v>848.82</v>
      </c>
      <c r="F14" s="246">
        <f t="shared" si="0"/>
        <v>7240.4345999999996</v>
      </c>
    </row>
    <row r="15" spans="1:8" ht="15.75">
      <c r="A15" s="243"/>
      <c r="B15" s="264" t="s">
        <v>268</v>
      </c>
      <c r="C15" s="261">
        <v>3.1</v>
      </c>
      <c r="D15" s="262" t="s">
        <v>8</v>
      </c>
      <c r="E15" s="263">
        <v>313.14</v>
      </c>
      <c r="F15" s="246">
        <f t="shared" si="0"/>
        <v>970.73400000000004</v>
      </c>
    </row>
    <row r="16" spans="1:8" ht="15.75">
      <c r="A16" s="243"/>
      <c r="B16" s="257" t="s">
        <v>269</v>
      </c>
      <c r="C16" s="261">
        <v>17.05</v>
      </c>
      <c r="D16" s="262" t="s">
        <v>8</v>
      </c>
      <c r="E16" s="263">
        <v>447.06</v>
      </c>
      <c r="F16" s="246">
        <f t="shared" si="0"/>
        <v>7622.3730000000005</v>
      </c>
    </row>
    <row r="17" spans="1:6" ht="15.75">
      <c r="A17" s="243"/>
      <c r="B17" s="257" t="s">
        <v>270</v>
      </c>
      <c r="C17" s="261">
        <v>5.2</v>
      </c>
      <c r="D17" s="262" t="s">
        <v>8</v>
      </c>
      <c r="E17" s="263">
        <v>679.66</v>
      </c>
      <c r="F17" s="246">
        <f t="shared" si="0"/>
        <v>3534.232</v>
      </c>
    </row>
    <row r="18" spans="1:6" ht="15.75">
      <c r="A18" s="243"/>
      <c r="B18" s="257" t="s">
        <v>271</v>
      </c>
      <c r="C18" s="261">
        <v>26.89</v>
      </c>
      <c r="D18" s="262" t="s">
        <v>8</v>
      </c>
      <c r="E18" s="263">
        <v>117.54</v>
      </c>
      <c r="F18" s="246">
        <f t="shared" si="0"/>
        <v>3160.6506000000004</v>
      </c>
    </row>
    <row r="19" spans="1:6" ht="15.75">
      <c r="A19" s="243"/>
      <c r="B19" s="265"/>
      <c r="C19" s="312" t="s">
        <v>10</v>
      </c>
      <c r="D19" s="312"/>
      <c r="E19" s="312"/>
      <c r="F19" s="263">
        <f>SUM(F3:F18)</f>
        <v>329553.09350000002</v>
      </c>
    </row>
    <row r="20" spans="1:6" ht="15.75">
      <c r="A20" s="266"/>
      <c r="B20" s="266"/>
      <c r="C20" s="255"/>
      <c r="D20" s="313" t="s">
        <v>272</v>
      </c>
      <c r="E20" s="314"/>
      <c r="F20" s="263">
        <f>F19*18%</f>
        <v>59319.556830000001</v>
      </c>
    </row>
    <row r="21" spans="1:6" ht="15.75">
      <c r="A21" s="266"/>
      <c r="B21" s="266"/>
      <c r="C21" s="255"/>
      <c r="D21" s="313" t="s">
        <v>10</v>
      </c>
      <c r="E21" s="314"/>
      <c r="F21" s="263">
        <f>SUM(F19:F20)</f>
        <v>388872.65033000003</v>
      </c>
    </row>
    <row r="22" spans="1:6" ht="15.75">
      <c r="C22" s="267"/>
      <c r="D22" s="315" t="s">
        <v>273</v>
      </c>
      <c r="E22" s="315"/>
      <c r="F22" s="268">
        <f>F21*1/100</f>
        <v>3888.7265033000003</v>
      </c>
    </row>
    <row r="23" spans="1:6" ht="15.75">
      <c r="C23" s="267"/>
      <c r="D23" s="315" t="s">
        <v>124</v>
      </c>
      <c r="E23" s="315"/>
      <c r="F23" s="269">
        <f>SUM(F21:F22)</f>
        <v>392761.37683330005</v>
      </c>
    </row>
    <row r="24" spans="1:6" ht="21">
      <c r="C24" s="270"/>
      <c r="D24" s="270"/>
      <c r="E24" s="271" t="s">
        <v>274</v>
      </c>
      <c r="F24" s="272">
        <f>ROUND(F23,0)</f>
        <v>392761</v>
      </c>
    </row>
    <row r="25" spans="1:6" ht="21">
      <c r="C25" s="270"/>
      <c r="D25" s="270"/>
      <c r="E25" s="273"/>
      <c r="F25" s="274"/>
    </row>
    <row r="26" spans="1:6" ht="21">
      <c r="C26" s="270"/>
      <c r="D26" s="270"/>
      <c r="E26" s="273"/>
      <c r="F26" s="274"/>
    </row>
    <row r="27" spans="1:6" ht="21">
      <c r="C27" s="270"/>
      <c r="D27" s="270"/>
      <c r="E27" s="273"/>
      <c r="F27" s="274"/>
    </row>
    <row r="28" spans="1:6" ht="21">
      <c r="C28" s="270"/>
      <c r="D28" s="270"/>
      <c r="E28" s="273"/>
      <c r="F28" s="274"/>
    </row>
    <row r="30" spans="1:6">
      <c r="A30" s="310"/>
      <c r="B30" s="310"/>
      <c r="C30" s="310"/>
      <c r="D30" s="310"/>
      <c r="E30" s="310"/>
      <c r="F30" s="310"/>
    </row>
  </sheetData>
  <mergeCells count="7">
    <mergeCell ref="A30:F30"/>
    <mergeCell ref="A1:F1"/>
    <mergeCell ref="C19:E19"/>
    <mergeCell ref="D20:E20"/>
    <mergeCell ref="D21:E21"/>
    <mergeCell ref="D22:E22"/>
    <mergeCell ref="D23:E23"/>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H33"/>
  <sheetViews>
    <sheetView topLeftCell="A6" workbookViewId="0">
      <selection activeCell="E7" sqref="E7"/>
    </sheetView>
  </sheetViews>
  <sheetFormatPr defaultRowHeight="15"/>
  <cols>
    <col min="1" max="1" width="10.85546875" customWidth="1"/>
    <col min="2" max="2" width="50" customWidth="1"/>
    <col min="3" max="3" width="11.28515625" customWidth="1"/>
    <col min="4" max="4" width="5.5703125" bestFit="1" customWidth="1"/>
    <col min="5" max="5" width="11.42578125" bestFit="1" customWidth="1"/>
    <col min="6" max="6" width="19.28515625" customWidth="1"/>
  </cols>
  <sheetData>
    <row r="1" spans="1:8" ht="95.25" customHeight="1">
      <c r="A1" s="311" t="s">
        <v>278</v>
      </c>
      <c r="B1" s="311"/>
      <c r="C1" s="311"/>
      <c r="D1" s="311"/>
      <c r="E1" s="311"/>
      <c r="F1" s="311"/>
    </row>
    <row r="2" spans="1:8" ht="31.5">
      <c r="A2" s="180" t="s">
        <v>247</v>
      </c>
      <c r="B2" s="180" t="s">
        <v>248</v>
      </c>
      <c r="C2" s="243" t="s">
        <v>249</v>
      </c>
      <c r="D2" s="243" t="s">
        <v>250</v>
      </c>
      <c r="E2" s="243" t="s">
        <v>251</v>
      </c>
      <c r="F2" s="243" t="s">
        <v>252</v>
      </c>
    </row>
    <row r="3" spans="1:8" ht="31.5">
      <c r="A3" s="243">
        <v>1</v>
      </c>
      <c r="B3" s="244" t="s">
        <v>253</v>
      </c>
      <c r="C3" s="245">
        <v>12</v>
      </c>
      <c r="D3" s="245" t="s">
        <v>254</v>
      </c>
      <c r="E3" s="246">
        <v>326.85000000000002</v>
      </c>
      <c r="F3" s="246">
        <v>3922.2</v>
      </c>
    </row>
    <row r="4" spans="1:8" ht="81.75" customHeight="1">
      <c r="A4" s="243" t="s">
        <v>255</v>
      </c>
      <c r="B4" s="244" t="s">
        <v>256</v>
      </c>
      <c r="C4" s="247">
        <v>26.89</v>
      </c>
      <c r="D4" s="248" t="s">
        <v>8</v>
      </c>
      <c r="E4" s="249">
        <v>151.82</v>
      </c>
      <c r="F4" s="246">
        <v>4082.44</v>
      </c>
    </row>
    <row r="5" spans="1:8" ht="95.45" customHeight="1">
      <c r="A5" s="243" t="s">
        <v>257</v>
      </c>
      <c r="B5" s="250" t="s">
        <v>14</v>
      </c>
      <c r="C5" s="247">
        <v>3.1</v>
      </c>
      <c r="D5" s="248" t="s">
        <v>8</v>
      </c>
      <c r="E5" s="249">
        <v>589.51</v>
      </c>
      <c r="F5" s="246">
        <v>1827.48</v>
      </c>
    </row>
    <row r="6" spans="1:8" ht="78.75">
      <c r="A6" s="243" t="s">
        <v>258</v>
      </c>
      <c r="B6" s="244" t="s">
        <v>154</v>
      </c>
      <c r="C6" s="247">
        <v>5.2039082412914182</v>
      </c>
      <c r="D6" s="248" t="s">
        <v>8</v>
      </c>
      <c r="E6" s="249">
        <v>1756.4</v>
      </c>
      <c r="F6" s="246">
        <v>9140.14</v>
      </c>
    </row>
    <row r="7" spans="1:8" ht="107.25" customHeight="1">
      <c r="A7" s="251" t="s">
        <v>259</v>
      </c>
      <c r="B7" s="252" t="s">
        <v>226</v>
      </c>
      <c r="C7" s="253">
        <v>13.63</v>
      </c>
      <c r="D7" s="254" t="s">
        <v>8</v>
      </c>
      <c r="E7" s="255">
        <v>6082.45</v>
      </c>
      <c r="F7" s="246">
        <v>82903.789999999994</v>
      </c>
      <c r="H7" s="87"/>
    </row>
    <row r="8" spans="1:8" ht="117.95" customHeight="1">
      <c r="A8" s="251" t="s">
        <v>260</v>
      </c>
      <c r="B8" s="256" t="s">
        <v>261</v>
      </c>
      <c r="C8" s="124">
        <v>6.2</v>
      </c>
      <c r="D8" s="115" t="s">
        <v>8</v>
      </c>
      <c r="E8" s="125">
        <v>6308.87</v>
      </c>
      <c r="F8" s="246">
        <v>39114.99</v>
      </c>
    </row>
    <row r="9" spans="1:8" ht="78.75">
      <c r="A9" s="251" t="s">
        <v>262</v>
      </c>
      <c r="B9" s="257" t="s">
        <v>263</v>
      </c>
      <c r="C9" s="124"/>
      <c r="D9" s="115"/>
      <c r="E9" s="125"/>
      <c r="F9" s="246"/>
    </row>
    <row r="10" spans="1:8" ht="15.75">
      <c r="A10" s="251"/>
      <c r="B10" s="244" t="s">
        <v>264</v>
      </c>
      <c r="C10" s="258">
        <v>1.05</v>
      </c>
      <c r="D10" s="115" t="s">
        <v>160</v>
      </c>
      <c r="E10" s="259">
        <v>82096.539999999994</v>
      </c>
      <c r="F10" s="246">
        <f t="shared" ref="F10:F18" si="0">ROUND(C10*E10,2)</f>
        <v>86201.37</v>
      </c>
    </row>
    <row r="11" spans="1:8" ht="15.75">
      <c r="A11" s="251"/>
      <c r="B11" s="244" t="s">
        <v>265</v>
      </c>
      <c r="C11" s="258">
        <v>0.7</v>
      </c>
      <c r="D11" s="115" t="s">
        <v>160</v>
      </c>
      <c r="E11" s="259">
        <v>83314.02</v>
      </c>
      <c r="F11" s="246">
        <f>ROUND(C11*E11,2)</f>
        <v>58319.81</v>
      </c>
    </row>
    <row r="12" spans="1:8" ht="63">
      <c r="A12" s="243" t="s">
        <v>266</v>
      </c>
      <c r="B12" s="250" t="s">
        <v>203</v>
      </c>
      <c r="C12" s="124">
        <v>114</v>
      </c>
      <c r="D12" s="115" t="s">
        <v>9</v>
      </c>
      <c r="E12" s="125">
        <v>194.5</v>
      </c>
      <c r="F12" s="246">
        <v>22173</v>
      </c>
    </row>
    <row r="13" spans="1:8" ht="24" customHeight="1">
      <c r="A13" s="243">
        <v>10</v>
      </c>
      <c r="B13" s="260" t="s">
        <v>16</v>
      </c>
      <c r="C13" s="261"/>
      <c r="D13" s="262"/>
      <c r="E13" s="263"/>
      <c r="F13" s="246"/>
    </row>
    <row r="14" spans="1:8" ht="15.75">
      <c r="A14" s="243"/>
      <c r="B14" s="257" t="s">
        <v>267</v>
      </c>
      <c r="C14" s="261">
        <v>8.5299999999999994</v>
      </c>
      <c r="D14" s="262" t="s">
        <v>8</v>
      </c>
      <c r="E14" s="263">
        <v>848.82</v>
      </c>
      <c r="F14" s="246">
        <f t="shared" si="0"/>
        <v>7240.43</v>
      </c>
    </row>
    <row r="15" spans="1:8" ht="15.75">
      <c r="A15" s="243"/>
      <c r="B15" s="264" t="s">
        <v>268</v>
      </c>
      <c r="C15" s="261">
        <v>3.1</v>
      </c>
      <c r="D15" s="262" t="s">
        <v>8</v>
      </c>
      <c r="E15" s="263">
        <v>313.14</v>
      </c>
      <c r="F15" s="246">
        <f t="shared" si="0"/>
        <v>970.73</v>
      </c>
    </row>
    <row r="16" spans="1:8" ht="15.75">
      <c r="A16" s="243"/>
      <c r="B16" s="257" t="s">
        <v>269</v>
      </c>
      <c r="C16" s="261">
        <v>17.05</v>
      </c>
      <c r="D16" s="262" t="s">
        <v>8</v>
      </c>
      <c r="E16" s="263">
        <v>447.06</v>
      </c>
      <c r="F16" s="246">
        <f t="shared" si="0"/>
        <v>7622.37</v>
      </c>
    </row>
    <row r="17" spans="1:6" ht="15.75">
      <c r="A17" s="243"/>
      <c r="B17" s="257" t="s">
        <v>270</v>
      </c>
      <c r="C17" s="261">
        <v>5.2</v>
      </c>
      <c r="D17" s="262" t="s">
        <v>8</v>
      </c>
      <c r="E17" s="263">
        <v>679.66</v>
      </c>
      <c r="F17" s="246">
        <f t="shared" si="0"/>
        <v>3534.23</v>
      </c>
    </row>
    <row r="18" spans="1:6" ht="15.75">
      <c r="A18" s="243"/>
      <c r="B18" s="257" t="s">
        <v>271</v>
      </c>
      <c r="C18" s="261">
        <v>26.89</v>
      </c>
      <c r="D18" s="262" t="s">
        <v>8</v>
      </c>
      <c r="E18" s="263">
        <v>117.54</v>
      </c>
      <c r="F18" s="246">
        <f t="shared" si="0"/>
        <v>3160.65</v>
      </c>
    </row>
    <row r="19" spans="1:6" ht="15.75">
      <c r="A19" s="243"/>
      <c r="B19" s="265"/>
      <c r="C19" s="312" t="s">
        <v>10</v>
      </c>
      <c r="D19" s="312"/>
      <c r="E19" s="312"/>
      <c r="F19" s="263">
        <f>SUM(F3:F18)</f>
        <v>330213.62999999995</v>
      </c>
    </row>
    <row r="20" spans="1:6" ht="15.75">
      <c r="A20" s="266"/>
      <c r="B20" s="266"/>
      <c r="C20" s="255"/>
      <c r="D20" s="313" t="s">
        <v>272</v>
      </c>
      <c r="E20" s="314"/>
      <c r="F20" s="263">
        <f>F19*18%</f>
        <v>59438.453399999991</v>
      </c>
    </row>
    <row r="21" spans="1:6" ht="15.75">
      <c r="A21" s="266"/>
      <c r="B21" s="266"/>
      <c r="C21" s="255"/>
      <c r="D21" s="313" t="s">
        <v>10</v>
      </c>
      <c r="E21" s="314"/>
      <c r="F21" s="263">
        <f>SUM(F19:F20)</f>
        <v>389652.08339999994</v>
      </c>
    </row>
    <row r="22" spans="1:6" ht="15.75">
      <c r="C22" s="267"/>
      <c r="D22" s="315" t="s">
        <v>273</v>
      </c>
      <c r="E22" s="315"/>
      <c r="F22" s="268">
        <f>F21*1/100</f>
        <v>3896.5208339999995</v>
      </c>
    </row>
    <row r="23" spans="1:6" ht="15.75">
      <c r="C23" s="267"/>
      <c r="D23" s="315" t="s">
        <v>124</v>
      </c>
      <c r="E23" s="315"/>
      <c r="F23" s="269">
        <f>SUM(F21:F22)</f>
        <v>393548.60423399997</v>
      </c>
    </row>
    <row r="24" spans="1:6" ht="21">
      <c r="C24" s="270"/>
      <c r="D24" s="270"/>
      <c r="E24" s="271" t="s">
        <v>274</v>
      </c>
      <c r="F24" s="272">
        <v>393548</v>
      </c>
    </row>
    <row r="33" spans="1:6">
      <c r="A33" s="310"/>
      <c r="B33" s="310"/>
      <c r="C33" s="310"/>
      <c r="D33" s="310"/>
      <c r="E33" s="310"/>
      <c r="F33" s="310"/>
    </row>
  </sheetData>
  <mergeCells count="7">
    <mergeCell ref="A33:F33"/>
    <mergeCell ref="A1:F1"/>
    <mergeCell ref="C19:E19"/>
    <mergeCell ref="D20:E20"/>
    <mergeCell ref="D21:E21"/>
    <mergeCell ref="D22:E22"/>
    <mergeCell ref="D23:E23"/>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F33"/>
  <sheetViews>
    <sheetView topLeftCell="A7" workbookViewId="0">
      <selection activeCell="E8" sqref="E8"/>
    </sheetView>
  </sheetViews>
  <sheetFormatPr defaultRowHeight="15"/>
  <cols>
    <col min="2" max="2" width="40.42578125" customWidth="1"/>
    <col min="5" max="5" width="10.7109375" customWidth="1"/>
    <col min="6" max="6" width="16.140625" customWidth="1"/>
  </cols>
  <sheetData>
    <row r="1" spans="1:6" ht="57" customHeight="1">
      <c r="A1" s="311" t="s">
        <v>275</v>
      </c>
      <c r="B1" s="311"/>
      <c r="C1" s="311"/>
      <c r="D1" s="311"/>
      <c r="E1" s="311"/>
      <c r="F1" s="311"/>
    </row>
    <row r="2" spans="1:6" ht="37.5">
      <c r="A2" s="180" t="s">
        <v>247</v>
      </c>
      <c r="B2" s="180" t="s">
        <v>248</v>
      </c>
      <c r="C2" s="243" t="s">
        <v>249</v>
      </c>
      <c r="D2" s="243" t="s">
        <v>250</v>
      </c>
      <c r="E2" s="243" t="s">
        <v>251</v>
      </c>
      <c r="F2" s="243" t="s">
        <v>252</v>
      </c>
    </row>
    <row r="3" spans="1:6" ht="31.5">
      <c r="A3" s="243">
        <v>1</v>
      </c>
      <c r="B3" s="244" t="s">
        <v>253</v>
      </c>
      <c r="C3" s="245">
        <v>10</v>
      </c>
      <c r="D3" s="245" t="s">
        <v>254</v>
      </c>
      <c r="E3" s="246">
        <v>326.85000000000002</v>
      </c>
      <c r="F3" s="246">
        <f>ROUND(C3*E3,2)</f>
        <v>3268.5</v>
      </c>
    </row>
    <row r="4" spans="1:6" ht="157.5">
      <c r="A4" s="243" t="s">
        <v>255</v>
      </c>
      <c r="B4" s="244" t="s">
        <v>256</v>
      </c>
      <c r="C4" s="247">
        <v>28.22</v>
      </c>
      <c r="D4" s="248" t="s">
        <v>8</v>
      </c>
      <c r="E4" s="249">
        <v>151.82</v>
      </c>
      <c r="F4" s="249">
        <v>4284.3599999999997</v>
      </c>
    </row>
    <row r="5" spans="1:6" ht="141.75">
      <c r="A5" s="243" t="s">
        <v>257</v>
      </c>
      <c r="B5" s="250" t="s">
        <v>14</v>
      </c>
      <c r="C5" s="247">
        <v>3.2515576323987538</v>
      </c>
      <c r="D5" s="248" t="s">
        <v>8</v>
      </c>
      <c r="E5" s="249">
        <v>589.51</v>
      </c>
      <c r="F5" s="249">
        <v>1916.83</v>
      </c>
    </row>
    <row r="6" spans="1:6" ht="110.25">
      <c r="A6" s="243" t="s">
        <v>258</v>
      </c>
      <c r="B6" s="244" t="s">
        <v>154</v>
      </c>
      <c r="C6" s="249">
        <v>6.54</v>
      </c>
      <c r="D6" s="248" t="s">
        <v>8</v>
      </c>
      <c r="E6" s="249">
        <v>1756.4</v>
      </c>
      <c r="F6" s="249">
        <v>11486.86</v>
      </c>
    </row>
    <row r="7" spans="1:6" ht="141.75">
      <c r="A7" s="251" t="s">
        <v>276</v>
      </c>
      <c r="B7" s="181" t="s">
        <v>277</v>
      </c>
      <c r="C7" s="275">
        <v>25.7</v>
      </c>
      <c r="D7" s="276" t="s">
        <v>8</v>
      </c>
      <c r="E7" s="277">
        <v>4961.7299999999996</v>
      </c>
      <c r="F7" s="249">
        <v>127516.46</v>
      </c>
    </row>
    <row r="8" spans="1:6" ht="173.25">
      <c r="A8" s="251" t="s">
        <v>259</v>
      </c>
      <c r="B8" s="252" t="s">
        <v>226</v>
      </c>
      <c r="C8" s="263">
        <v>12</v>
      </c>
      <c r="D8" s="278" t="s">
        <v>8</v>
      </c>
      <c r="E8" s="255">
        <v>6082.45</v>
      </c>
      <c r="F8" s="249">
        <v>72989.399999999994</v>
      </c>
    </row>
    <row r="9" spans="1:6" ht="65.25" customHeight="1">
      <c r="A9" s="251" t="s">
        <v>260</v>
      </c>
      <c r="B9" s="256" t="s">
        <v>261</v>
      </c>
      <c r="C9" s="261">
        <v>6.5031152647975077</v>
      </c>
      <c r="D9" s="262" t="s">
        <v>8</v>
      </c>
      <c r="E9" s="279">
        <v>6308.87</v>
      </c>
      <c r="F9" s="249">
        <v>41027.31</v>
      </c>
    </row>
    <row r="10" spans="1:6" ht="65.25" customHeight="1">
      <c r="A10" s="251" t="s">
        <v>262</v>
      </c>
      <c r="B10" s="257" t="s">
        <v>263</v>
      </c>
      <c r="C10" s="261"/>
      <c r="D10" s="262"/>
      <c r="E10" s="279"/>
      <c r="F10" s="249"/>
    </row>
    <row r="11" spans="1:6" ht="15.75">
      <c r="A11" s="251"/>
      <c r="B11" s="244" t="s">
        <v>264</v>
      </c>
      <c r="C11" s="280">
        <v>0.98</v>
      </c>
      <c r="D11" s="262" t="s">
        <v>160</v>
      </c>
      <c r="E11" s="259">
        <v>82096.539999999994</v>
      </c>
      <c r="F11" s="249">
        <f t="shared" ref="F11:F19" si="0">ROUND(C11*E11,2)</f>
        <v>80454.61</v>
      </c>
    </row>
    <row r="12" spans="1:6" ht="15.75">
      <c r="A12" s="251"/>
      <c r="B12" s="244" t="s">
        <v>265</v>
      </c>
      <c r="C12" s="280">
        <v>0.65</v>
      </c>
      <c r="D12" s="262" t="s">
        <v>160</v>
      </c>
      <c r="E12" s="259">
        <v>83314.02</v>
      </c>
      <c r="F12" s="249">
        <f>ROUND(C12*E12,2)</f>
        <v>54154.11</v>
      </c>
    </row>
    <row r="13" spans="1:6" ht="63">
      <c r="A13" s="243" t="s">
        <v>266</v>
      </c>
      <c r="B13" s="250" t="s">
        <v>203</v>
      </c>
      <c r="C13" s="261">
        <v>255.58</v>
      </c>
      <c r="D13" s="262" t="s">
        <v>9</v>
      </c>
      <c r="E13" s="279">
        <v>194.5</v>
      </c>
      <c r="F13" s="249">
        <v>49710.31</v>
      </c>
    </row>
    <row r="14" spans="1:6" ht="18.75">
      <c r="A14" s="243">
        <v>10</v>
      </c>
      <c r="B14" s="260" t="s">
        <v>16</v>
      </c>
      <c r="C14" s="261"/>
      <c r="D14" s="262"/>
      <c r="E14" s="263"/>
      <c r="F14" s="249"/>
    </row>
    <row r="15" spans="1:6" ht="15.75">
      <c r="A15" s="243"/>
      <c r="B15" s="257" t="s">
        <v>267</v>
      </c>
      <c r="C15" s="261">
        <f>PRODUCT([10]Material!G9-[10]Material!G4)</f>
        <v>19.010000000000002</v>
      </c>
      <c r="D15" s="262" t="s">
        <v>8</v>
      </c>
      <c r="E15" s="263">
        <v>848.82</v>
      </c>
      <c r="F15" s="249">
        <f t="shared" si="0"/>
        <v>16136.07</v>
      </c>
    </row>
    <row r="16" spans="1:6" ht="15.75">
      <c r="A16" s="243"/>
      <c r="B16" s="264" t="s">
        <v>268</v>
      </c>
      <c r="C16" s="261">
        <f>[10]Material!F9</f>
        <v>3.25</v>
      </c>
      <c r="D16" s="262" t="s">
        <v>8</v>
      </c>
      <c r="E16" s="263">
        <v>313.14</v>
      </c>
      <c r="F16" s="249">
        <f t="shared" si="0"/>
        <v>1017.71</v>
      </c>
    </row>
    <row r="17" spans="1:6" ht="15.75">
      <c r="A17" s="243"/>
      <c r="B17" s="257" t="s">
        <v>269</v>
      </c>
      <c r="C17" s="261">
        <f>PRODUCT([10]Material!H9)</f>
        <v>38.01</v>
      </c>
      <c r="D17" s="262" t="s">
        <v>8</v>
      </c>
      <c r="E17" s="263">
        <v>447.06</v>
      </c>
      <c r="F17" s="249">
        <f t="shared" si="0"/>
        <v>16992.75</v>
      </c>
    </row>
    <row r="18" spans="1:6" ht="15.75">
      <c r="A18" s="243"/>
      <c r="B18" s="257" t="s">
        <v>270</v>
      </c>
      <c r="C18" s="261">
        <f>PRODUCT([10]Material!J9)</f>
        <v>6.54</v>
      </c>
      <c r="D18" s="262" t="s">
        <v>8</v>
      </c>
      <c r="E18" s="263">
        <v>679.66</v>
      </c>
      <c r="F18" s="249">
        <f t="shared" si="0"/>
        <v>4444.9799999999996</v>
      </c>
    </row>
    <row r="19" spans="1:6" ht="15.75">
      <c r="A19" s="243"/>
      <c r="B19" s="257" t="s">
        <v>271</v>
      </c>
      <c r="C19" s="261">
        <f>[10]Material!K9</f>
        <v>28.22</v>
      </c>
      <c r="D19" s="262" t="s">
        <v>8</v>
      </c>
      <c r="E19" s="263">
        <v>117.54</v>
      </c>
      <c r="F19" s="249">
        <f t="shared" si="0"/>
        <v>3316.98</v>
      </c>
    </row>
    <row r="20" spans="1:6" ht="15.75">
      <c r="A20" s="243"/>
      <c r="B20" s="265"/>
      <c r="C20" s="312" t="s">
        <v>10</v>
      </c>
      <c r="D20" s="312"/>
      <c r="E20" s="312"/>
      <c r="F20" s="263">
        <f>SUM(F3:F19)</f>
        <v>488717.23999999993</v>
      </c>
    </row>
    <row r="21" spans="1:6" ht="15.75">
      <c r="A21" s="266"/>
      <c r="B21" s="266"/>
      <c r="C21" s="255"/>
      <c r="D21" s="313" t="s">
        <v>272</v>
      </c>
      <c r="E21" s="314"/>
      <c r="F21" s="263">
        <f>F20*18%</f>
        <v>87969.103199999983</v>
      </c>
    </row>
    <row r="22" spans="1:6" ht="15.75">
      <c r="A22" s="266"/>
      <c r="B22" s="266"/>
      <c r="C22" s="255"/>
      <c r="D22" s="313" t="s">
        <v>10</v>
      </c>
      <c r="E22" s="314"/>
      <c r="F22" s="263">
        <f>SUM(F20:F21)</f>
        <v>576686.34319999989</v>
      </c>
    </row>
    <row r="23" spans="1:6" ht="15.75">
      <c r="C23" s="281"/>
      <c r="D23" s="315" t="s">
        <v>273</v>
      </c>
      <c r="E23" s="315"/>
      <c r="F23" s="268">
        <f>F22*1/100</f>
        <v>5766.8634319999992</v>
      </c>
    </row>
    <row r="24" spans="1:6" ht="15.75">
      <c r="C24" s="281"/>
      <c r="D24" s="315" t="s">
        <v>124</v>
      </c>
      <c r="E24" s="315"/>
      <c r="F24" s="282">
        <f>SUM(F22:F23)</f>
        <v>582453.20663199993</v>
      </c>
    </row>
    <row r="25" spans="1:6" ht="21">
      <c r="C25" s="283"/>
      <c r="D25" s="283"/>
      <c r="E25" s="284" t="s">
        <v>274</v>
      </c>
      <c r="F25" s="272">
        <f>ROUND(F24,0)</f>
        <v>582453</v>
      </c>
    </row>
    <row r="33" spans="1:6">
      <c r="A33" s="310"/>
      <c r="B33" s="310"/>
      <c r="C33" s="310"/>
      <c r="D33" s="310"/>
      <c r="E33" s="310"/>
      <c r="F33" s="310"/>
    </row>
  </sheetData>
  <mergeCells count="7">
    <mergeCell ref="A33:F33"/>
    <mergeCell ref="A1:F1"/>
    <mergeCell ref="C20:E20"/>
    <mergeCell ref="D21:E21"/>
    <mergeCell ref="D22:E22"/>
    <mergeCell ref="D23:E23"/>
    <mergeCell ref="D24:E24"/>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H30"/>
  <sheetViews>
    <sheetView topLeftCell="A9" workbookViewId="0">
      <selection activeCell="A9" sqref="A1:XFD1048576"/>
    </sheetView>
  </sheetViews>
  <sheetFormatPr defaultRowHeight="15"/>
  <cols>
    <col min="1" max="1" width="10.85546875" customWidth="1"/>
    <col min="2" max="2" width="50" customWidth="1"/>
    <col min="3" max="3" width="11.28515625" customWidth="1"/>
    <col min="4" max="4" width="5.5703125" bestFit="1" customWidth="1"/>
    <col min="5" max="5" width="11.42578125" bestFit="1" customWidth="1"/>
    <col min="6" max="6" width="19.28515625" customWidth="1"/>
  </cols>
  <sheetData>
    <row r="1" spans="1:8" ht="95.25" customHeight="1">
      <c r="A1" s="311" t="s">
        <v>246</v>
      </c>
      <c r="B1" s="311"/>
      <c r="C1" s="311"/>
      <c r="D1" s="311"/>
      <c r="E1" s="311"/>
      <c r="F1" s="311"/>
    </row>
    <row r="2" spans="1:8" ht="31.5">
      <c r="A2" s="180" t="s">
        <v>247</v>
      </c>
      <c r="B2" s="180" t="s">
        <v>248</v>
      </c>
      <c r="C2" s="243" t="s">
        <v>249</v>
      </c>
      <c r="D2" s="243" t="s">
        <v>250</v>
      </c>
      <c r="E2" s="243" t="s">
        <v>251</v>
      </c>
      <c r="F2" s="243" t="s">
        <v>252</v>
      </c>
    </row>
    <row r="3" spans="1:8" ht="31.5">
      <c r="A3" s="243">
        <v>1</v>
      </c>
      <c r="B3" s="244" t="s">
        <v>253</v>
      </c>
      <c r="C3" s="245">
        <v>10</v>
      </c>
      <c r="D3" s="245" t="s">
        <v>254</v>
      </c>
      <c r="E3" s="246">
        <v>326.85000000000002</v>
      </c>
      <c r="F3" s="246">
        <f>ROUND(C3*E3,2)</f>
        <v>3268.5</v>
      </c>
    </row>
    <row r="4" spans="1:8" ht="126">
      <c r="A4" s="243" t="s">
        <v>255</v>
      </c>
      <c r="B4" s="244" t="s">
        <v>256</v>
      </c>
      <c r="C4" s="247">
        <v>15.36</v>
      </c>
      <c r="D4" s="248" t="s">
        <v>8</v>
      </c>
      <c r="E4" s="249">
        <v>151.82</v>
      </c>
      <c r="F4" s="246">
        <v>2331.96</v>
      </c>
    </row>
    <row r="5" spans="1:8" ht="95.45" customHeight="1">
      <c r="A5" s="243" t="s">
        <v>257</v>
      </c>
      <c r="B5" s="250" t="s">
        <v>14</v>
      </c>
      <c r="C5" s="247">
        <v>1.77</v>
      </c>
      <c r="D5" s="248" t="s">
        <v>8</v>
      </c>
      <c r="E5" s="249">
        <v>589.51</v>
      </c>
      <c r="F5" s="246">
        <v>1043.43</v>
      </c>
    </row>
    <row r="6" spans="1:8" ht="78.75">
      <c r="A6" s="243" t="s">
        <v>258</v>
      </c>
      <c r="B6" s="244" t="s">
        <v>154</v>
      </c>
      <c r="C6" s="247">
        <v>2.97</v>
      </c>
      <c r="D6" s="248" t="s">
        <v>8</v>
      </c>
      <c r="E6" s="249">
        <v>1756.4</v>
      </c>
      <c r="F6" s="246">
        <v>5216.51</v>
      </c>
    </row>
    <row r="7" spans="1:8" ht="91.5" customHeight="1">
      <c r="A7" s="251" t="s">
        <v>259</v>
      </c>
      <c r="B7" s="252" t="s">
        <v>226</v>
      </c>
      <c r="C7" s="253">
        <v>7.7881619937694699</v>
      </c>
      <c r="D7" s="254" t="s">
        <v>8</v>
      </c>
      <c r="E7" s="255">
        <v>6082.45</v>
      </c>
      <c r="F7" s="246">
        <v>47371.11</v>
      </c>
      <c r="H7" s="87"/>
    </row>
    <row r="8" spans="1:8" ht="117.95" customHeight="1">
      <c r="A8" s="251" t="s">
        <v>260</v>
      </c>
      <c r="B8" s="256" t="s">
        <v>261</v>
      </c>
      <c r="C8" s="124">
        <v>3.54</v>
      </c>
      <c r="D8" s="115" t="s">
        <v>8</v>
      </c>
      <c r="E8" s="125">
        <v>6308.87</v>
      </c>
      <c r="F8" s="246">
        <v>22333.4</v>
      </c>
    </row>
    <row r="9" spans="1:8" ht="78.75">
      <c r="A9" s="251" t="s">
        <v>262</v>
      </c>
      <c r="B9" s="257" t="s">
        <v>263</v>
      </c>
      <c r="C9" s="124"/>
      <c r="D9" s="115"/>
      <c r="E9" s="125"/>
      <c r="F9" s="246"/>
    </row>
    <row r="10" spans="1:8" ht="15.75">
      <c r="A10" s="251"/>
      <c r="B10" s="244" t="s">
        <v>264</v>
      </c>
      <c r="C10" s="258">
        <v>0.6</v>
      </c>
      <c r="D10" s="115" t="s">
        <v>160</v>
      </c>
      <c r="E10" s="259">
        <v>82096.539999999994</v>
      </c>
      <c r="F10" s="246">
        <f t="shared" ref="F10:F18" si="0">ROUND(C10*E10,2)</f>
        <v>49257.919999999998</v>
      </c>
    </row>
    <row r="11" spans="1:8" ht="15.75">
      <c r="A11" s="251"/>
      <c r="B11" s="244" t="s">
        <v>265</v>
      </c>
      <c r="C11" s="258">
        <v>0.36</v>
      </c>
      <c r="D11" s="115" t="s">
        <v>160</v>
      </c>
      <c r="E11" s="259">
        <v>83314.02</v>
      </c>
      <c r="F11" s="246">
        <f>ROUND(C11*E11,2)</f>
        <v>29993.05</v>
      </c>
    </row>
    <row r="12" spans="1:8" ht="63">
      <c r="A12" s="243" t="s">
        <v>266</v>
      </c>
      <c r="B12" s="250" t="s">
        <v>203</v>
      </c>
      <c r="C12" s="253">
        <v>65.06</v>
      </c>
      <c r="D12" s="115" t="s">
        <v>9</v>
      </c>
      <c r="E12" s="125">
        <v>194.5</v>
      </c>
      <c r="F12" s="246">
        <f t="shared" ref="F12" si="1">ROUND(C12*E12,2)</f>
        <v>12654.17</v>
      </c>
    </row>
    <row r="13" spans="1:8" ht="24" customHeight="1">
      <c r="A13" s="243">
        <v>10</v>
      </c>
      <c r="B13" s="260" t="s">
        <v>16</v>
      </c>
      <c r="C13" s="261"/>
      <c r="D13" s="262"/>
      <c r="E13" s="263"/>
      <c r="F13" s="246"/>
    </row>
    <row r="14" spans="1:8" ht="15.75">
      <c r="A14" s="243"/>
      <c r="B14" s="257" t="s">
        <v>267</v>
      </c>
      <c r="C14" s="261">
        <v>4.87</v>
      </c>
      <c r="D14" s="262" t="s">
        <v>8</v>
      </c>
      <c r="E14" s="263">
        <v>848.82</v>
      </c>
      <c r="F14" s="246">
        <f t="shared" si="0"/>
        <v>4133.75</v>
      </c>
    </row>
    <row r="15" spans="1:8" ht="15.75">
      <c r="A15" s="243"/>
      <c r="B15" s="264" t="s">
        <v>268</v>
      </c>
      <c r="C15" s="261">
        <v>1.77</v>
      </c>
      <c r="D15" s="262" t="s">
        <v>8</v>
      </c>
      <c r="E15" s="263">
        <v>313.14</v>
      </c>
      <c r="F15" s="246">
        <f t="shared" si="0"/>
        <v>554.26</v>
      </c>
    </row>
    <row r="16" spans="1:8" ht="15.75">
      <c r="A16" s="243"/>
      <c r="B16" s="257" t="s">
        <v>269</v>
      </c>
      <c r="C16" s="261">
        <v>9.74</v>
      </c>
      <c r="D16" s="262" t="s">
        <v>8</v>
      </c>
      <c r="E16" s="263">
        <v>447.06</v>
      </c>
      <c r="F16" s="246">
        <f t="shared" si="0"/>
        <v>4354.3599999999997</v>
      </c>
    </row>
    <row r="17" spans="1:6" ht="15.75">
      <c r="A17" s="243"/>
      <c r="B17" s="257" t="s">
        <v>270</v>
      </c>
      <c r="C17" s="261">
        <v>2.97</v>
      </c>
      <c r="D17" s="262" t="s">
        <v>8</v>
      </c>
      <c r="E17" s="263">
        <v>679.66</v>
      </c>
      <c r="F17" s="246">
        <f t="shared" si="0"/>
        <v>2018.59</v>
      </c>
    </row>
    <row r="18" spans="1:6" ht="15.75">
      <c r="A18" s="243"/>
      <c r="B18" s="257" t="s">
        <v>271</v>
      </c>
      <c r="C18" s="261">
        <v>15.36</v>
      </c>
      <c r="D18" s="262" t="s">
        <v>8</v>
      </c>
      <c r="E18" s="263">
        <v>117.54</v>
      </c>
      <c r="F18" s="246">
        <f t="shared" si="0"/>
        <v>1805.41</v>
      </c>
    </row>
    <row r="19" spans="1:6" ht="15.75">
      <c r="A19" s="243"/>
      <c r="B19" s="265"/>
      <c r="C19" s="312" t="s">
        <v>10</v>
      </c>
      <c r="D19" s="312"/>
      <c r="E19" s="312"/>
      <c r="F19" s="263">
        <f>SUM(F3:F18)</f>
        <v>186336.42</v>
      </c>
    </row>
    <row r="20" spans="1:6" ht="15.75">
      <c r="A20" s="266"/>
      <c r="B20" s="266"/>
      <c r="C20" s="255"/>
      <c r="D20" s="313" t="s">
        <v>272</v>
      </c>
      <c r="E20" s="314"/>
      <c r="F20" s="263">
        <f>F19*18%</f>
        <v>33540.5556</v>
      </c>
    </row>
    <row r="21" spans="1:6" ht="15.75">
      <c r="A21" s="266"/>
      <c r="B21" s="266"/>
      <c r="C21" s="255"/>
      <c r="D21" s="313" t="s">
        <v>10</v>
      </c>
      <c r="E21" s="314"/>
      <c r="F21" s="263">
        <f>SUM(F19:F20)</f>
        <v>219876.97560000001</v>
      </c>
    </row>
    <row r="22" spans="1:6" ht="15.75">
      <c r="C22" s="267"/>
      <c r="D22" s="315" t="s">
        <v>273</v>
      </c>
      <c r="E22" s="315"/>
      <c r="F22" s="268">
        <f>F21*1/100</f>
        <v>2198.7697560000001</v>
      </c>
    </row>
    <row r="23" spans="1:6" ht="15.75">
      <c r="C23" s="267"/>
      <c r="D23" s="315" t="s">
        <v>124</v>
      </c>
      <c r="E23" s="315"/>
      <c r="F23" s="269">
        <f>SUM(F21:F22)</f>
        <v>222075.745356</v>
      </c>
    </row>
    <row r="24" spans="1:6" ht="21">
      <c r="C24" s="270"/>
      <c r="D24" s="270"/>
      <c r="E24" s="271" t="s">
        <v>274</v>
      </c>
      <c r="F24" s="272">
        <f>ROUND(F23,0)</f>
        <v>222076</v>
      </c>
    </row>
    <row r="25" spans="1:6" ht="21">
      <c r="C25" s="270"/>
      <c r="D25" s="270"/>
      <c r="E25" s="273"/>
      <c r="F25" s="274"/>
    </row>
    <row r="26" spans="1:6" ht="21">
      <c r="C26" s="270"/>
      <c r="D26" s="270"/>
      <c r="E26" s="273"/>
      <c r="F26" s="274"/>
    </row>
    <row r="27" spans="1:6" ht="21">
      <c r="C27" s="270"/>
      <c r="D27" s="270"/>
      <c r="E27" s="273"/>
      <c r="F27" s="274"/>
    </row>
    <row r="28" spans="1:6" ht="21">
      <c r="C28" s="270"/>
      <c r="D28" s="270"/>
      <c r="E28" s="273"/>
      <c r="F28" s="274"/>
    </row>
    <row r="30" spans="1:6">
      <c r="A30" s="310"/>
      <c r="B30" s="310"/>
      <c r="C30" s="310"/>
      <c r="D30" s="310"/>
      <c r="E30" s="310"/>
      <c r="F30" s="310"/>
    </row>
  </sheetData>
  <mergeCells count="7">
    <mergeCell ref="A30:F30"/>
    <mergeCell ref="A1:F1"/>
    <mergeCell ref="C19:E19"/>
    <mergeCell ref="D20:E20"/>
    <mergeCell ref="D21:E21"/>
    <mergeCell ref="D22:E22"/>
    <mergeCell ref="D23:E23"/>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F30"/>
  <sheetViews>
    <sheetView topLeftCell="A7" workbookViewId="0">
      <selection activeCell="E9" sqref="E9"/>
    </sheetView>
  </sheetViews>
  <sheetFormatPr defaultRowHeight="15"/>
  <cols>
    <col min="1" max="1" width="8.85546875" bestFit="1" customWidth="1"/>
    <col min="2" max="2" width="51.42578125" customWidth="1"/>
    <col min="3" max="3" width="8.85546875" bestFit="1" customWidth="1"/>
    <col min="5" max="5" width="10.5703125" bestFit="1" customWidth="1"/>
    <col min="6" max="6" width="18.28515625" style="22" bestFit="1" customWidth="1"/>
  </cols>
  <sheetData>
    <row r="1" spans="1:6" ht="20.25">
      <c r="A1" s="318" t="s">
        <v>0</v>
      </c>
      <c r="B1" s="319"/>
      <c r="C1" s="319"/>
      <c r="D1" s="319"/>
      <c r="E1" s="319"/>
      <c r="F1" s="320"/>
    </row>
    <row r="2" spans="1:6" ht="18" customHeight="1">
      <c r="A2" s="321" t="s">
        <v>1</v>
      </c>
      <c r="B2" s="322"/>
      <c r="C2" s="322"/>
      <c r="D2" s="322"/>
      <c r="E2" s="322"/>
      <c r="F2" s="323"/>
    </row>
    <row r="3" spans="1:6" ht="32.450000000000003" customHeight="1">
      <c r="A3" s="324" t="str">
        <f>[11]ESTIMATE!A2</f>
        <v>Name of Work :-CONSTRUCTION OF RCC DRAIN AT PATEL COMPOUND FROM RAJAN MISHRA HOUSE TO UMESH SINGH HOUSE AND SHIMPU GUPTA HOUSE TO HANUMAN MANDIR UNDER WARD NO-24</v>
      </c>
      <c r="B3" s="325"/>
      <c r="C3" s="325"/>
      <c r="D3" s="325"/>
      <c r="E3" s="325"/>
      <c r="F3" s="326"/>
    </row>
    <row r="4" spans="1:6" ht="30">
      <c r="A4" s="14" t="s">
        <v>2</v>
      </c>
      <c r="B4" s="25" t="s">
        <v>3</v>
      </c>
      <c r="C4" s="25" t="s">
        <v>4</v>
      </c>
      <c r="D4" s="25" t="s">
        <v>5</v>
      </c>
      <c r="E4" s="14" t="s">
        <v>6</v>
      </c>
      <c r="F4" s="26" t="s">
        <v>7</v>
      </c>
    </row>
    <row r="5" spans="1:6" ht="28.5">
      <c r="A5" s="14">
        <f>[11]ESTIMATE!A4</f>
        <v>1</v>
      </c>
      <c r="B5" s="27" t="str">
        <f>[11]ESTIMATE!B4</f>
        <v>Labour for site clearence before and after the work etc.</v>
      </c>
      <c r="C5" s="28">
        <f>[11]ESTIMATE!G4</f>
        <v>2</v>
      </c>
      <c r="D5" s="29" t="s">
        <v>8</v>
      </c>
      <c r="E5" s="28">
        <f>[11]ESTIMATE!I4</f>
        <v>326.85000000000002</v>
      </c>
      <c r="F5" s="7">
        <f t="shared" ref="F5:F13" si="0">ROUND(C5*E5,2)</f>
        <v>653.70000000000005</v>
      </c>
    </row>
    <row r="6" spans="1:6" ht="87.6" customHeight="1">
      <c r="A6" s="14" t="str">
        <f>[11]ESTIMATE!A5</f>
        <v>2       5.1.1.</v>
      </c>
      <c r="B6" s="30" t="s">
        <v>13</v>
      </c>
      <c r="C6" s="28">
        <f>[11]ESTIMATE!G8</f>
        <v>42.34</v>
      </c>
      <c r="D6" s="29" t="s">
        <v>8</v>
      </c>
      <c r="E6" s="28">
        <f>[11]ESTIMATE!I8</f>
        <v>151.82</v>
      </c>
      <c r="F6" s="7">
        <f t="shared" si="0"/>
        <v>6428.06</v>
      </c>
    </row>
    <row r="7" spans="1:6" ht="99.75">
      <c r="A7" s="14" t="str">
        <f>[11]ESTIMATE!A9</f>
        <v>3.       5.1.10</v>
      </c>
      <c r="B7" s="30" t="s">
        <v>14</v>
      </c>
      <c r="C7" s="28">
        <f>[11]ESTIMATE!G12</f>
        <v>3.96</v>
      </c>
      <c r="D7" s="29" t="s">
        <v>8</v>
      </c>
      <c r="E7" s="28">
        <f>[11]ESTIMATE!I12</f>
        <v>589.51</v>
      </c>
      <c r="F7" s="7">
        <f t="shared" si="0"/>
        <v>2334.46</v>
      </c>
    </row>
    <row r="8" spans="1:6" ht="71.25">
      <c r="A8" s="14" t="str">
        <f>[11]ESTIMATE!A13</f>
        <v>4.       5.6.8 (C.I.W.)</v>
      </c>
      <c r="B8" s="30" t="s">
        <v>15</v>
      </c>
      <c r="C8" s="28">
        <f>[11]ESTIMATE!G16</f>
        <v>6.66</v>
      </c>
      <c r="D8" s="29" t="s">
        <v>8</v>
      </c>
      <c r="E8" s="28">
        <f>[11]ESTIMATE!I16</f>
        <v>1756.4</v>
      </c>
      <c r="F8" s="7">
        <f t="shared" si="0"/>
        <v>11697.62</v>
      </c>
    </row>
    <row r="9" spans="1:6" ht="65.099999999999994" customHeight="1">
      <c r="A9" s="14" t="str">
        <f>[11]ESTIMATE!A17</f>
        <v>5.                                    5.3.10</v>
      </c>
      <c r="B9" s="31" t="str">
        <f>[11]ESTIMATE!B17</f>
        <v xml:space="preserve">Reinforced cement concrete work in walls (any thickness),including  attached pilasters, buttresses, plinth and string courses, fillets, columns,pillars, piers, abutments, posts and struts etc.above plinth level upto to five level, excluding the cost of centering, shuttering, finishing and reinforcement  with 1:1½:3 (1 cemet : 1½ coarse sand (zone-iii) : 3 graded stone aggregate 20mm nominal size ) </v>
      </c>
      <c r="C9" s="28">
        <f>[11]ESTIMATE!G21</f>
        <v>19.82</v>
      </c>
      <c r="D9" s="29" t="s">
        <v>8</v>
      </c>
      <c r="E9" s="28">
        <f>[11]ESTIMATE!I21</f>
        <v>6082.45</v>
      </c>
      <c r="F9" s="7">
        <f t="shared" si="0"/>
        <v>120554.16</v>
      </c>
    </row>
    <row r="10" spans="1:6" ht="65.099999999999994" customHeight="1">
      <c r="A10" s="14" t="str">
        <f>[11]ESTIMATE!A22</f>
        <v>6                  5.3.11</v>
      </c>
      <c r="B10" s="31" t="str">
        <f>[11]ESTIMATE!B22</f>
        <v xml:space="preserve">Reinforced cement concrete work in beam, suspended floors, roofs having slope up to 15° landing,balconies,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v>
      </c>
      <c r="C10" s="28">
        <f>[11]ESTIMATE!G25</f>
        <v>7.93</v>
      </c>
      <c r="D10" s="29" t="s">
        <v>8</v>
      </c>
      <c r="E10" s="28">
        <f>[11]ESTIMATE!I25</f>
        <v>6308.87</v>
      </c>
      <c r="F10" s="7">
        <f t="shared" si="0"/>
        <v>50029.34</v>
      </c>
    </row>
    <row r="11" spans="1:6" ht="65.099999999999994" customHeight="1">
      <c r="A11" s="14">
        <f>[11]ESTIMATE!A26</f>
        <v>7</v>
      </c>
      <c r="B11" s="31" t="str">
        <f>[11]ESTIMATE!B26</f>
        <v xml:space="preserve">Providing  Tor steel reinforcement of 8mm, 10mm, 12mm, and 16mm dia rods bars as per approved design and drawing with cutting,bending and binding with annealed wire with cost of wire,removal of rust,placing the rods in position (excluding carriage of bars to work site), all complete as per building specification and direction of E/I. TMT Fe 500 (only valid for SAIL and TATA steel,JSPL,Electro steel Ltd Bokaro and Vizag (RINL) </v>
      </c>
      <c r="C11" s="28">
        <f>[11]ESTIMATE!G30</f>
        <v>1.02</v>
      </c>
      <c r="D11" s="29" t="str">
        <f>[11]ESTIMATE!H30</f>
        <v>MT</v>
      </c>
      <c r="E11" s="28">
        <f>[11]ESTIMATE!I30</f>
        <v>83314.02</v>
      </c>
      <c r="F11" s="7">
        <f t="shared" si="0"/>
        <v>84980.3</v>
      </c>
    </row>
    <row r="12" spans="1:6" ht="15.75">
      <c r="A12" s="14"/>
      <c r="B12" s="31"/>
      <c r="C12" s="28">
        <f>[11]ESTIMATE!G34</f>
        <v>1.25</v>
      </c>
      <c r="D12" s="29" t="str">
        <f>[11]ESTIMATE!H34</f>
        <v>MT</v>
      </c>
      <c r="E12" s="28">
        <f>[11]ESTIMATE!I34</f>
        <v>82096.539999999994</v>
      </c>
      <c r="F12" s="7">
        <f t="shared" si="0"/>
        <v>102620.68</v>
      </c>
    </row>
    <row r="13" spans="1:6" ht="42.75">
      <c r="A13" s="14" t="str">
        <f>[11]ESTIMATE!A35</f>
        <v>8                 5.3.17.1</v>
      </c>
      <c r="B13" s="30" t="str">
        <f>[11]ESTIMATE!B35</f>
        <v>Centering and shuttering including strutting, propping etc. and removal of from for Foundations,footings, bases of columns, etc. for mass concrete.</v>
      </c>
      <c r="C13" s="28">
        <f>[11]ESTIMATE!G38</f>
        <v>78.069999999999993</v>
      </c>
      <c r="D13" s="32" t="s">
        <v>9</v>
      </c>
      <c r="E13" s="14">
        <f>[11]ESTIMATE!I38</f>
        <v>194.5</v>
      </c>
      <c r="F13" s="3">
        <f t="shared" si="0"/>
        <v>15184.62</v>
      </c>
    </row>
    <row r="14" spans="1:6" ht="15.75">
      <c r="A14" s="14">
        <f>[11]ESTIMATE!A39</f>
        <v>9</v>
      </c>
      <c r="B14" s="33" t="s">
        <v>16</v>
      </c>
      <c r="C14" s="29"/>
      <c r="D14" s="34"/>
      <c r="E14" s="35"/>
      <c r="F14" s="7"/>
    </row>
    <row r="15" spans="1:6" ht="15.75">
      <c r="A15" s="36" t="s">
        <v>17</v>
      </c>
      <c r="B15" s="37" t="str">
        <f>[11]ESTIMATE!B40</f>
        <v>SAND -LEAD-49KM</v>
      </c>
      <c r="C15" s="29">
        <f>PRODUCT('[11]MATERIAL '!F7)</f>
        <v>11.93</v>
      </c>
      <c r="D15" s="34" t="s">
        <v>8</v>
      </c>
      <c r="E15" s="14">
        <f>[11]ESTIMATE!I40</f>
        <v>848.82</v>
      </c>
      <c r="F15" s="7">
        <f t="shared" ref="F15:F19" si="1">ROUND(C15*E15,2)</f>
        <v>10126.42</v>
      </c>
    </row>
    <row r="16" spans="1:6" ht="15.75">
      <c r="A16" s="36" t="s">
        <v>18</v>
      </c>
      <c r="B16" s="37" t="str">
        <f>[11]ESTIMATE!B41</f>
        <v>LOCAL SAND-LEAD-18KM</v>
      </c>
      <c r="C16" s="29">
        <f>PRODUCT('[11]MATERIAL '!G7)</f>
        <v>3.96</v>
      </c>
      <c r="D16" s="34" t="s">
        <v>8</v>
      </c>
      <c r="E16" s="16">
        <f>[11]ESTIMATE!I41</f>
        <v>387.54</v>
      </c>
      <c r="F16" s="7">
        <f t="shared" si="1"/>
        <v>1534.66</v>
      </c>
    </row>
    <row r="17" spans="1:6" ht="15.75">
      <c r="A17" s="36" t="s">
        <v>19</v>
      </c>
      <c r="B17" s="38" t="str">
        <f>[11]ESTIMATE!B42</f>
        <v>STONE CHIPS-LEAD-22KM</v>
      </c>
      <c r="C17" s="29">
        <f>PRODUCT('[11]MATERIAL '!H7)</f>
        <v>23.87</v>
      </c>
      <c r="D17" s="34" t="s">
        <v>8</v>
      </c>
      <c r="E17" s="16">
        <f>[11]ESTIMATE!I42</f>
        <v>447.06</v>
      </c>
      <c r="F17" s="7">
        <f t="shared" si="1"/>
        <v>10671.32</v>
      </c>
    </row>
    <row r="18" spans="1:6" ht="15.75">
      <c r="A18" s="36" t="s">
        <v>20</v>
      </c>
      <c r="B18" s="38" t="str">
        <f>[11]ESTIMATE!B43</f>
        <v>BOULDER-LEAD-36KM</v>
      </c>
      <c r="C18" s="29">
        <f>PRODUCT('[11]MATERIAL '!I7)</f>
        <v>6.66</v>
      </c>
      <c r="D18" s="34" t="s">
        <v>8</v>
      </c>
      <c r="E18" s="14">
        <f>[11]ESTIMATE!I43</f>
        <v>679.66</v>
      </c>
      <c r="F18" s="7">
        <f t="shared" si="1"/>
        <v>4526.54</v>
      </c>
    </row>
    <row r="19" spans="1:6" ht="15.75">
      <c r="A19" s="36" t="s">
        <v>21</v>
      </c>
      <c r="B19" s="30" t="str">
        <f>[11]ESTIMATE!B44</f>
        <v>EARTH-LEAD-01KM</v>
      </c>
      <c r="C19" s="29">
        <f>PRODUCT('[11]MATERIAL '!J7)</f>
        <v>42.34</v>
      </c>
      <c r="D19" s="34" t="s">
        <v>8</v>
      </c>
      <c r="E19" s="16">
        <f>[11]ESTIMATE!I44</f>
        <v>117.54</v>
      </c>
      <c r="F19" s="7">
        <f t="shared" si="1"/>
        <v>4976.6400000000003</v>
      </c>
    </row>
    <row r="20" spans="1:6" ht="15.75">
      <c r="A20" s="39"/>
      <c r="B20" s="39"/>
      <c r="C20" s="316" t="s">
        <v>10</v>
      </c>
      <c r="D20" s="316"/>
      <c r="E20" s="317"/>
      <c r="F20" s="7">
        <f>SUM(F5:F19)</f>
        <v>426318.51999999996</v>
      </c>
    </row>
    <row r="21" spans="1:6" ht="15.75">
      <c r="A21" s="39"/>
      <c r="B21" s="39"/>
      <c r="C21" s="327" t="s">
        <v>11</v>
      </c>
      <c r="D21" s="316"/>
      <c r="E21" s="317"/>
      <c r="F21" s="7">
        <f>F20*18%</f>
        <v>76737.333599999984</v>
      </c>
    </row>
    <row r="22" spans="1:6" ht="15.75">
      <c r="A22" s="39"/>
      <c r="B22" s="39"/>
      <c r="C22" s="327" t="s">
        <v>10</v>
      </c>
      <c r="D22" s="316"/>
      <c r="E22" s="317"/>
      <c r="F22" s="7">
        <f>SUM(F20:F21)</f>
        <v>503055.85359999991</v>
      </c>
    </row>
    <row r="23" spans="1:6" ht="15.75">
      <c r="A23" s="39"/>
      <c r="B23" s="39"/>
      <c r="C23" s="316" t="s">
        <v>12</v>
      </c>
      <c r="D23" s="316"/>
      <c r="E23" s="317"/>
      <c r="F23" s="7">
        <f>ROUND(F22*0.01,2)</f>
        <v>5030.5600000000004</v>
      </c>
    </row>
    <row r="24" spans="1:6" ht="15.75">
      <c r="A24" s="39"/>
      <c r="B24" s="39"/>
      <c r="C24" s="316" t="s">
        <v>10</v>
      </c>
      <c r="D24" s="316"/>
      <c r="E24" s="317"/>
      <c r="F24" s="7">
        <f>SUM(F22:F23)</f>
        <v>508086.41359999991</v>
      </c>
    </row>
    <row r="25" spans="1:6" ht="18.75">
      <c r="A25" s="40"/>
      <c r="B25" s="40"/>
      <c r="C25" s="41"/>
      <c r="D25" s="41"/>
      <c r="E25" s="41"/>
      <c r="F25" s="20"/>
    </row>
    <row r="26" spans="1:6" ht="18.75">
      <c r="A26" s="40"/>
      <c r="B26" s="40"/>
      <c r="C26" s="41"/>
      <c r="D26" s="41"/>
      <c r="E26" s="41"/>
      <c r="F26" s="20"/>
    </row>
    <row r="27" spans="1:6">
      <c r="A27" s="21"/>
    </row>
    <row r="28" spans="1:6">
      <c r="A28" s="21"/>
    </row>
    <row r="29" spans="1:6" ht="18.75">
      <c r="A29" s="21"/>
      <c r="B29" s="42"/>
      <c r="C29" s="43"/>
      <c r="F29" s="20"/>
    </row>
    <row r="30" spans="1:6" ht="18.75">
      <c r="A30" s="21"/>
      <c r="B30" s="42"/>
      <c r="C30" s="43"/>
      <c r="F30" s="20"/>
    </row>
  </sheetData>
  <mergeCells count="8">
    <mergeCell ref="C23:E23"/>
    <mergeCell ref="C24:E24"/>
    <mergeCell ref="A1:F1"/>
    <mergeCell ref="A2:F2"/>
    <mergeCell ref="A3:F3"/>
    <mergeCell ref="C20:E20"/>
    <mergeCell ref="C21:E21"/>
    <mergeCell ref="C22:E22"/>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F21"/>
  <sheetViews>
    <sheetView workbookViewId="0">
      <selection activeCell="B6" sqref="B6"/>
    </sheetView>
  </sheetViews>
  <sheetFormatPr defaultRowHeight="15"/>
  <cols>
    <col min="2" max="2" width="60" customWidth="1"/>
    <col min="4" max="4" width="8.7109375" customWidth="1"/>
    <col min="5" max="5" width="10.5703125" customWidth="1"/>
    <col min="6" max="6" width="16.85546875" style="22" customWidth="1"/>
  </cols>
  <sheetData>
    <row r="1" spans="1:6" ht="20.25">
      <c r="A1" s="318" t="s">
        <v>0</v>
      </c>
      <c r="B1" s="319"/>
      <c r="C1" s="319"/>
      <c r="D1" s="319"/>
      <c r="E1" s="319"/>
      <c r="F1" s="320"/>
    </row>
    <row r="2" spans="1:6" ht="18" customHeight="1">
      <c r="A2" s="321" t="s">
        <v>1</v>
      </c>
      <c r="B2" s="322"/>
      <c r="C2" s="322"/>
      <c r="D2" s="322"/>
      <c r="E2" s="322"/>
      <c r="F2" s="323"/>
    </row>
    <row r="3" spans="1:6" ht="32.450000000000003" customHeight="1">
      <c r="A3" s="330" t="str">
        <f>[12]ESTIMATE!A2</f>
        <v>Name of Work :-CONSTRUCTION OF PCC ROAD AT PATEL COMPOUND FROM SHIPU GUPTA HOUSE TO HANUMAN MANDIR UNDER WARD NO-24</v>
      </c>
      <c r="B3" s="331"/>
      <c r="C3" s="331"/>
      <c r="D3" s="331"/>
      <c r="E3" s="331"/>
      <c r="F3" s="332"/>
    </row>
    <row r="4" spans="1:6" ht="31.5">
      <c r="A4" s="1" t="s">
        <v>2</v>
      </c>
      <c r="B4" s="2" t="s">
        <v>3</v>
      </c>
      <c r="C4" s="2" t="s">
        <v>4</v>
      </c>
      <c r="D4" s="2" t="s">
        <v>5</v>
      </c>
      <c r="E4" s="1" t="s">
        <v>6</v>
      </c>
      <c r="F4" s="3" t="s">
        <v>7</v>
      </c>
    </row>
    <row r="5" spans="1:6" ht="24.95" customHeight="1">
      <c r="A5" s="1">
        <f>[12]ESTIMATE!A4</f>
        <v>1</v>
      </c>
      <c r="B5" s="4" t="str">
        <f>[12]ESTIMATE!B4</f>
        <v>Labour for site clearence before and after the work etc.</v>
      </c>
      <c r="C5" s="5">
        <f>[12]ESTIMATE!G4</f>
        <v>1</v>
      </c>
      <c r="D5" s="6" t="str">
        <f>[12]ESTIMATE!H4</f>
        <v>Nos.</v>
      </c>
      <c r="E5" s="5">
        <f>[12]ESTIMATE!I4</f>
        <v>326.85000000000002</v>
      </c>
      <c r="F5" s="7">
        <f>ROUND(C5*E5,2)</f>
        <v>326.85000000000002</v>
      </c>
    </row>
    <row r="6" spans="1:6" ht="65.099999999999994" customHeight="1">
      <c r="A6" s="1" t="str">
        <f>[12]ESTIMATE!A5</f>
        <v>2.     5.3.1.1</v>
      </c>
      <c r="B6" s="8" t="str">
        <f>[12]ESTIMATE!B5</f>
        <v xml:space="preserve">Providing and laying in position concrete of specified grade excluding the cost of centering and shuttering- All work upto plinth level : 1:1½:3 (1 cemet : 1½ coarse sand (zone-iii) : 3 graded stone aggregate 20mm nominal size )  </v>
      </c>
      <c r="C6" s="5">
        <f>[12]ESTIMATE!G9</f>
        <v>17.84</v>
      </c>
      <c r="D6" s="6" t="s">
        <v>8</v>
      </c>
      <c r="E6" s="5">
        <f>[12]ESTIMATE!I9</f>
        <v>4961.7299999999996</v>
      </c>
      <c r="F6" s="7">
        <f>ROUND(C6*E6,2)</f>
        <v>88517.26</v>
      </c>
    </row>
    <row r="7" spans="1:6" ht="48" customHeight="1">
      <c r="A7" s="1" t="str">
        <f>[12]ESTIMATE!A10</f>
        <v>3               5.3.17.1</v>
      </c>
      <c r="B7" s="4" t="str">
        <f>[12]ESTIMATE!B10</f>
        <v>Centering and shuttering including strutting, propping etc. and removal of from for Foundations,footings, bases of columns, etc. for mass concrete.</v>
      </c>
      <c r="C7" s="5">
        <f>[12]ESTIMATE!G13</f>
        <v>11.15</v>
      </c>
      <c r="D7" s="9" t="s">
        <v>9</v>
      </c>
      <c r="E7" s="10">
        <f>[12]ESTIMATE!I13</f>
        <v>194.5</v>
      </c>
      <c r="F7" s="3">
        <f>ROUND(C7*E7,2)</f>
        <v>2168.6799999999998</v>
      </c>
    </row>
    <row r="8" spans="1:6" ht="15.75">
      <c r="A8" s="1">
        <f>[12]ESTIMATE!A14</f>
        <v>4</v>
      </c>
      <c r="B8" s="11" t="str">
        <f>[12]ESTIMATE!B14</f>
        <v>CARRIAGE OF MATERIALS</v>
      </c>
      <c r="C8" s="6"/>
      <c r="D8" s="12"/>
      <c r="E8" s="13"/>
      <c r="F8" s="7"/>
    </row>
    <row r="9" spans="1:6" ht="15.75">
      <c r="A9" s="1" t="str">
        <f>[12]ESTIMATE!A15</f>
        <v>(i)</v>
      </c>
      <c r="B9" s="11" t="str">
        <f>[12]ESTIMATE!B15</f>
        <v>SAND-LEAD-42KM</v>
      </c>
      <c r="C9" s="6">
        <f>[12]ESTIMATE!G15</f>
        <v>7.67</v>
      </c>
      <c r="D9" s="12" t="s">
        <v>8</v>
      </c>
      <c r="E9" s="14">
        <f>[12]ESTIMATE!I15</f>
        <v>744.66</v>
      </c>
      <c r="F9" s="7">
        <f>ROUND(C9*E9,2)</f>
        <v>5711.54</v>
      </c>
    </row>
    <row r="10" spans="1:6" ht="15.75">
      <c r="A10" s="1" t="str">
        <f>[12]ESTIMATE!A16</f>
        <v>(iii)</v>
      </c>
      <c r="B10" s="15" t="str">
        <f>[12]ESTIMATE!B16</f>
        <v>STONE CHIPS-LEAD-15KM</v>
      </c>
      <c r="C10" s="6">
        <f>[12]ESTIMATE!G16</f>
        <v>15.34</v>
      </c>
      <c r="D10" s="12" t="s">
        <v>8</v>
      </c>
      <c r="E10" s="16">
        <f>[12]ESTIMATE!I16</f>
        <v>342.9</v>
      </c>
      <c r="F10" s="7">
        <f>ROUND(C10*E10,2)</f>
        <v>5260.09</v>
      </c>
    </row>
    <row r="11" spans="1:6" ht="15.75">
      <c r="A11" s="17"/>
      <c r="B11" s="17"/>
      <c r="C11" s="328" t="s">
        <v>10</v>
      </c>
      <c r="D11" s="328"/>
      <c r="E11" s="329"/>
      <c r="F11" s="7">
        <f>SUM(F5:F10)</f>
        <v>101984.41999999998</v>
      </c>
    </row>
    <row r="12" spans="1:6" ht="15.75">
      <c r="A12" s="17"/>
      <c r="B12" s="17"/>
      <c r="C12" s="333" t="s">
        <v>11</v>
      </c>
      <c r="D12" s="328"/>
      <c r="E12" s="329"/>
      <c r="F12" s="7">
        <f>F11*18%</f>
        <v>18357.195599999995</v>
      </c>
    </row>
    <row r="13" spans="1:6" ht="15.75">
      <c r="A13" s="17"/>
      <c r="B13" s="17"/>
      <c r="C13" s="333" t="s">
        <v>10</v>
      </c>
      <c r="D13" s="328"/>
      <c r="E13" s="329"/>
      <c r="F13" s="7">
        <f>SUM(F11:F12)</f>
        <v>120341.61559999998</v>
      </c>
    </row>
    <row r="14" spans="1:6" ht="15.75">
      <c r="A14" s="17"/>
      <c r="B14" s="17"/>
      <c r="C14" s="328" t="s">
        <v>12</v>
      </c>
      <c r="D14" s="328"/>
      <c r="E14" s="329"/>
      <c r="F14" s="7">
        <f>ROUND(F13*0.01,2)</f>
        <v>1203.42</v>
      </c>
    </row>
    <row r="15" spans="1:6" ht="15.75">
      <c r="A15" s="17"/>
      <c r="B15" s="17"/>
      <c r="C15" s="328" t="s">
        <v>10</v>
      </c>
      <c r="D15" s="328"/>
      <c r="E15" s="329"/>
      <c r="F15" s="7">
        <f>SUM(F13:F14)</f>
        <v>121545.03559999997</v>
      </c>
    </row>
    <row r="16" spans="1:6" ht="18.75">
      <c r="A16" s="18"/>
      <c r="B16" s="18"/>
      <c r="C16" s="19"/>
      <c r="D16" s="19"/>
      <c r="E16" s="19"/>
      <c r="F16" s="20"/>
    </row>
    <row r="17" spans="1:6" ht="18.75">
      <c r="A17" s="18"/>
      <c r="B17" s="18"/>
      <c r="C17" s="19"/>
      <c r="D17" s="19"/>
      <c r="E17" s="19"/>
      <c r="F17" s="20"/>
    </row>
    <row r="18" spans="1:6">
      <c r="A18" s="21"/>
    </row>
    <row r="19" spans="1:6">
      <c r="A19" s="21"/>
    </row>
    <row r="20" spans="1:6" ht="18.75">
      <c r="A20" s="21"/>
      <c r="B20" s="23"/>
      <c r="C20" s="24"/>
      <c r="F20" s="20"/>
    </row>
    <row r="21" spans="1:6" ht="18.75">
      <c r="A21" s="21"/>
      <c r="B21" s="23"/>
      <c r="C21" s="24"/>
      <c r="F21" s="20"/>
    </row>
  </sheetData>
  <mergeCells count="8">
    <mergeCell ref="C14:E14"/>
    <mergeCell ref="C15:E15"/>
    <mergeCell ref="A1:F1"/>
    <mergeCell ref="A2:F2"/>
    <mergeCell ref="A3:F3"/>
    <mergeCell ref="C11:E11"/>
    <mergeCell ref="C12:E12"/>
    <mergeCell ref="C13:E1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J50"/>
  <sheetViews>
    <sheetView workbookViewId="0">
      <selection activeCell="B5" sqref="B5"/>
    </sheetView>
  </sheetViews>
  <sheetFormatPr defaultRowHeight="15"/>
  <cols>
    <col min="1" max="1" width="7.7109375" customWidth="1"/>
    <col min="2" max="2" width="50.42578125" customWidth="1"/>
    <col min="3" max="3" width="8.5703125" customWidth="1"/>
    <col min="4" max="4" width="5.140625" bestFit="1" customWidth="1"/>
    <col min="5" max="5" width="10.28515625" customWidth="1"/>
    <col min="6" max="6" width="18.85546875" customWidth="1"/>
  </cols>
  <sheetData>
    <row r="1" spans="1:10" ht="21" customHeight="1">
      <c r="A1" s="285" t="s">
        <v>190</v>
      </c>
      <c r="B1" s="285"/>
      <c r="C1" s="285"/>
      <c r="D1" s="285"/>
      <c r="E1" s="285"/>
      <c r="F1" s="285"/>
    </row>
    <row r="2" spans="1:10" ht="14.25" customHeight="1">
      <c r="A2" s="286" t="s">
        <v>48</v>
      </c>
      <c r="B2" s="287"/>
      <c r="C2" s="287"/>
      <c r="D2" s="287"/>
      <c r="E2" s="287"/>
      <c r="F2" s="288"/>
    </row>
    <row r="3" spans="1:10" ht="25.5" customHeight="1">
      <c r="A3" s="289" t="s">
        <v>212</v>
      </c>
      <c r="B3" s="290"/>
      <c r="C3" s="290"/>
      <c r="D3" s="290"/>
      <c r="E3" s="290"/>
      <c r="F3" s="291"/>
      <c r="G3" s="150"/>
      <c r="H3" s="150"/>
      <c r="I3" s="150"/>
      <c r="J3" s="150"/>
    </row>
    <row r="4" spans="1:10" s="108" customFormat="1" ht="60" customHeight="1">
      <c r="A4" s="151" t="s">
        <v>192</v>
      </c>
      <c r="B4" s="152" t="s">
        <v>193</v>
      </c>
      <c r="C4" s="153">
        <v>75.62</v>
      </c>
      <c r="D4" s="154" t="s">
        <v>8</v>
      </c>
      <c r="E4" s="155">
        <v>151.82</v>
      </c>
      <c r="F4" s="156">
        <f>ROUND((C4*E4),2)</f>
        <v>11480.63</v>
      </c>
      <c r="G4" s="150"/>
      <c r="H4" s="150"/>
      <c r="I4" s="150"/>
      <c r="J4" s="150"/>
    </row>
    <row r="5" spans="1:10" ht="63" customHeight="1">
      <c r="A5" s="182" t="s">
        <v>213</v>
      </c>
      <c r="B5" s="183" t="s">
        <v>214</v>
      </c>
      <c r="C5" s="157">
        <v>7.08</v>
      </c>
      <c r="D5" s="154" t="s">
        <v>8</v>
      </c>
      <c r="E5" s="157">
        <f>'[1]Adv Anil'!I11</f>
        <v>347.85</v>
      </c>
      <c r="F5" s="156">
        <f t="shared" ref="F5:F17" si="0">ROUND((C5*E5),2)</f>
        <v>2462.7800000000002</v>
      </c>
      <c r="G5" s="150"/>
      <c r="H5" s="150"/>
      <c r="I5" s="150"/>
      <c r="J5" s="150"/>
    </row>
    <row r="6" spans="1:10" s="150" customFormat="1" ht="52.5" customHeight="1">
      <c r="A6" s="158" t="s">
        <v>195</v>
      </c>
      <c r="B6" s="159" t="s">
        <v>15</v>
      </c>
      <c r="C6" s="157">
        <v>11.61</v>
      </c>
      <c r="D6" s="154" t="s">
        <v>8</v>
      </c>
      <c r="E6" s="157">
        <v>1756.4</v>
      </c>
      <c r="F6" s="156">
        <f t="shared" si="0"/>
        <v>20391.8</v>
      </c>
    </row>
    <row r="7" spans="1:10" s="150" customFormat="1" ht="51.75" customHeight="1">
      <c r="A7" s="158" t="s">
        <v>215</v>
      </c>
      <c r="B7" s="160" t="s">
        <v>197</v>
      </c>
      <c r="C7" s="157">
        <v>35.4</v>
      </c>
      <c r="D7" s="154" t="s">
        <v>8</v>
      </c>
      <c r="E7" s="157">
        <v>6082.45</v>
      </c>
      <c r="F7" s="156">
        <f t="shared" si="0"/>
        <v>215318.73</v>
      </c>
      <c r="I7" s="150" t="s">
        <v>216</v>
      </c>
    </row>
    <row r="8" spans="1:10" s="150" customFormat="1" ht="58.5" customHeight="1">
      <c r="A8" s="158" t="s">
        <v>217</v>
      </c>
      <c r="B8" s="160" t="s">
        <v>199</v>
      </c>
      <c r="C8" s="157">
        <v>14.16</v>
      </c>
      <c r="D8" s="154" t="s">
        <v>8</v>
      </c>
      <c r="E8" s="157">
        <v>6308.87</v>
      </c>
      <c r="F8" s="156">
        <f t="shared" si="0"/>
        <v>89333.6</v>
      </c>
    </row>
    <row r="9" spans="1:10" s="150" customFormat="1" ht="83.25" customHeight="1">
      <c r="A9" s="161">
        <v>6</v>
      </c>
      <c r="B9" s="162" t="s">
        <v>200</v>
      </c>
      <c r="C9" s="163">
        <v>1.575</v>
      </c>
      <c r="D9" s="154" t="s">
        <v>8</v>
      </c>
      <c r="E9" s="157">
        <v>83314.02</v>
      </c>
      <c r="F9" s="156">
        <f t="shared" si="0"/>
        <v>131219.57999999999</v>
      </c>
    </row>
    <row r="10" spans="1:10" s="150" customFormat="1" ht="15.75" customHeight="1">
      <c r="A10" s="161"/>
      <c r="B10" s="162" t="s">
        <v>201</v>
      </c>
      <c r="C10" s="163">
        <v>2.4060000000000001</v>
      </c>
      <c r="D10" s="154" t="s">
        <v>8</v>
      </c>
      <c r="E10" s="157">
        <v>82096.539999999994</v>
      </c>
      <c r="F10" s="156">
        <f t="shared" si="0"/>
        <v>197524.28</v>
      </c>
    </row>
    <row r="11" spans="1:10" s="150" customFormat="1" ht="33.75" customHeight="1">
      <c r="A11" s="158" t="s">
        <v>202</v>
      </c>
      <c r="B11" s="159" t="s">
        <v>203</v>
      </c>
      <c r="C11" s="164">
        <v>278.81</v>
      </c>
      <c r="D11" s="165" t="s">
        <v>9</v>
      </c>
      <c r="E11" s="166">
        <v>194.5</v>
      </c>
      <c r="F11" s="156">
        <f t="shared" si="0"/>
        <v>54228.55</v>
      </c>
    </row>
    <row r="12" spans="1:10" s="150" customFormat="1" ht="19.5" customHeight="1">
      <c r="A12" s="158">
        <v>8</v>
      </c>
      <c r="B12" s="159" t="s">
        <v>204</v>
      </c>
      <c r="C12" s="164">
        <v>0</v>
      </c>
      <c r="D12" s="164">
        <v>0</v>
      </c>
      <c r="E12" s="166">
        <v>0</v>
      </c>
      <c r="F12" s="156">
        <v>0</v>
      </c>
    </row>
    <row r="13" spans="1:10" s="150" customFormat="1" ht="20.25" customHeight="1">
      <c r="A13" s="167" t="s">
        <v>17</v>
      </c>
      <c r="B13" s="168" t="s">
        <v>205</v>
      </c>
      <c r="C13" s="157">
        <v>21.31</v>
      </c>
      <c r="D13" s="157" t="s">
        <v>8</v>
      </c>
      <c r="E13" s="166">
        <v>848.82</v>
      </c>
      <c r="F13" s="156">
        <f t="shared" si="0"/>
        <v>18088.349999999999</v>
      </c>
    </row>
    <row r="14" spans="1:10" s="150" customFormat="1" ht="20.25" customHeight="1">
      <c r="A14" s="167" t="s">
        <v>18</v>
      </c>
      <c r="B14" s="168" t="s">
        <v>206</v>
      </c>
      <c r="C14" s="157">
        <v>7.08</v>
      </c>
      <c r="D14" s="157" t="s">
        <v>8</v>
      </c>
      <c r="E14" s="166">
        <v>447.06</v>
      </c>
      <c r="F14" s="156">
        <f t="shared" si="0"/>
        <v>3165.18</v>
      </c>
    </row>
    <row r="15" spans="1:10" s="150" customFormat="1" ht="21" customHeight="1">
      <c r="A15" s="167" t="s">
        <v>19</v>
      </c>
      <c r="B15" s="169" t="s">
        <v>207</v>
      </c>
      <c r="C15" s="157">
        <v>42.62</v>
      </c>
      <c r="D15" s="157" t="s">
        <v>8</v>
      </c>
      <c r="E15" s="166">
        <v>447.06</v>
      </c>
      <c r="F15" s="156">
        <f t="shared" si="0"/>
        <v>19053.7</v>
      </c>
    </row>
    <row r="16" spans="1:10" s="150" customFormat="1" ht="19.5" customHeight="1">
      <c r="A16" s="167" t="s">
        <v>20</v>
      </c>
      <c r="B16" s="169" t="s">
        <v>208</v>
      </c>
      <c r="C16" s="157">
        <v>11.61</v>
      </c>
      <c r="D16" s="157" t="s">
        <v>8</v>
      </c>
      <c r="E16" s="166">
        <v>679.66</v>
      </c>
      <c r="F16" s="156">
        <f t="shared" si="0"/>
        <v>7890.85</v>
      </c>
    </row>
    <row r="17" spans="1:6" s="150" customFormat="1">
      <c r="A17" s="167" t="s">
        <v>21</v>
      </c>
      <c r="B17" s="169" t="s">
        <v>209</v>
      </c>
      <c r="C17" s="157">
        <v>75.62</v>
      </c>
      <c r="D17" s="157" t="s">
        <v>8</v>
      </c>
      <c r="E17" s="166">
        <v>117.54</v>
      </c>
      <c r="F17" s="156">
        <f t="shared" si="0"/>
        <v>8888.3700000000008</v>
      </c>
    </row>
    <row r="18" spans="1:6" s="150" customFormat="1">
      <c r="A18" s="170"/>
      <c r="B18" s="171"/>
      <c r="C18" s="172"/>
      <c r="D18" s="173"/>
      <c r="E18" s="173" t="s">
        <v>38</v>
      </c>
      <c r="F18" s="174">
        <f>SUM(F4:F17)</f>
        <v>779046.40000000002</v>
      </c>
    </row>
    <row r="19" spans="1:6" s="150" customFormat="1">
      <c r="A19" s="175"/>
      <c r="B19" s="176"/>
      <c r="C19" s="173"/>
      <c r="D19" s="172"/>
      <c r="E19" s="173" t="s">
        <v>210</v>
      </c>
      <c r="F19" s="174">
        <f>F18*18/100</f>
        <v>140228.35200000001</v>
      </c>
    </row>
    <row r="20" spans="1:6" s="150" customFormat="1">
      <c r="A20" s="175"/>
      <c r="B20" s="176"/>
      <c r="C20" s="173"/>
      <c r="D20" s="173"/>
      <c r="E20" s="173"/>
      <c r="F20" s="174">
        <f>F18+F19</f>
        <v>919274.75200000009</v>
      </c>
    </row>
    <row r="21" spans="1:6" s="150" customFormat="1">
      <c r="A21" s="175"/>
      <c r="B21" s="176"/>
      <c r="C21" s="173"/>
      <c r="D21" s="173"/>
      <c r="E21" s="173" t="s">
        <v>211</v>
      </c>
      <c r="F21" s="174">
        <f>F20*1/100</f>
        <v>9192.7475200000008</v>
      </c>
    </row>
    <row r="22" spans="1:6" s="150" customFormat="1">
      <c r="A22" s="175"/>
      <c r="B22" s="176"/>
      <c r="C22" s="173"/>
      <c r="D22" s="173"/>
      <c r="E22" s="173" t="s">
        <v>38</v>
      </c>
      <c r="F22" s="177">
        <f>F20+F21</f>
        <v>928467.49952000007</v>
      </c>
    </row>
    <row r="23" spans="1:6" s="150" customFormat="1">
      <c r="C23" s="178"/>
      <c r="D23" s="178"/>
      <c r="E23" s="178"/>
      <c r="F23" s="178"/>
    </row>
    <row r="24" spans="1:6" s="150" customFormat="1">
      <c r="C24" s="178"/>
      <c r="D24" s="178"/>
      <c r="E24" s="178"/>
      <c r="F24" s="178"/>
    </row>
    <row r="25" spans="1:6" s="150" customFormat="1">
      <c r="C25" s="178"/>
      <c r="D25" s="178"/>
      <c r="E25" s="178"/>
      <c r="F25" s="178"/>
    </row>
    <row r="26" spans="1:6" s="150" customFormat="1">
      <c r="C26" s="178"/>
      <c r="D26" s="178"/>
      <c r="E26" s="178"/>
      <c r="F26" s="178"/>
    </row>
    <row r="27" spans="1:6" s="150" customFormat="1">
      <c r="C27" s="178"/>
      <c r="D27" s="178"/>
      <c r="E27" s="178"/>
      <c r="F27" s="178"/>
    </row>
    <row r="28" spans="1:6" s="150" customFormat="1">
      <c r="C28" s="178"/>
      <c r="D28" s="178"/>
      <c r="E28" s="178"/>
      <c r="F28" s="178"/>
    </row>
    <row r="29" spans="1:6" s="150" customFormat="1">
      <c r="C29" s="178"/>
      <c r="D29" s="178"/>
      <c r="E29" s="178"/>
      <c r="F29" s="178"/>
    </row>
    <row r="30" spans="1:6" s="150" customFormat="1">
      <c r="C30" s="178"/>
      <c r="D30" s="178"/>
      <c r="E30" s="178"/>
      <c r="F30" s="178"/>
    </row>
    <row r="31" spans="1:6" s="150" customFormat="1">
      <c r="C31" s="178"/>
      <c r="D31" s="178"/>
      <c r="E31" s="178"/>
      <c r="F31" s="178"/>
    </row>
    <row r="32" spans="1:6" s="150" customFormat="1">
      <c r="C32" s="178"/>
      <c r="D32" s="178"/>
      <c r="E32" s="178"/>
      <c r="F32" s="178"/>
    </row>
    <row r="33" spans="1:10" s="150" customFormat="1">
      <c r="C33" s="178"/>
      <c r="D33" s="178"/>
      <c r="E33" s="178"/>
      <c r="F33" s="178"/>
    </row>
    <row r="34" spans="1:10" s="150" customFormat="1">
      <c r="C34" s="178"/>
      <c r="D34" s="178"/>
      <c r="E34" s="178"/>
      <c r="F34" s="178"/>
    </row>
    <row r="35" spans="1:10" s="150" customFormat="1">
      <c r="C35" s="178"/>
      <c r="D35" s="178"/>
      <c r="E35" s="178"/>
      <c r="F35" s="178"/>
    </row>
    <row r="36" spans="1:10" s="150" customFormat="1">
      <c r="C36" s="178"/>
      <c r="D36" s="178"/>
      <c r="E36" s="178"/>
      <c r="F36" s="178"/>
    </row>
    <row r="37" spans="1:10" s="150" customFormat="1">
      <c r="C37" s="178"/>
      <c r="D37" s="178"/>
      <c r="E37" s="178"/>
      <c r="F37" s="178"/>
      <c r="G37"/>
      <c r="H37"/>
      <c r="I37"/>
      <c r="J37"/>
    </row>
    <row r="38" spans="1:10" s="150" customFormat="1">
      <c r="C38" s="178"/>
      <c r="D38" s="178"/>
      <c r="E38" s="178"/>
      <c r="F38" s="178"/>
      <c r="G38"/>
      <c r="H38"/>
      <c r="I38"/>
      <c r="J38"/>
    </row>
    <row r="39" spans="1:10" s="150" customFormat="1">
      <c r="C39" s="178"/>
      <c r="D39" s="178"/>
      <c r="E39" s="178"/>
      <c r="F39" s="178"/>
      <c r="G39"/>
      <c r="H39"/>
      <c r="I39"/>
      <c r="J39"/>
    </row>
    <row r="40" spans="1:10" s="150" customFormat="1">
      <c r="A40"/>
      <c r="B40"/>
      <c r="C40" s="179"/>
      <c r="D40" s="179"/>
      <c r="E40" s="179"/>
      <c r="F40" s="179"/>
      <c r="G40"/>
      <c r="H40"/>
      <c r="I40"/>
      <c r="J40"/>
    </row>
    <row r="41" spans="1:10">
      <c r="C41" s="179"/>
      <c r="D41" s="179"/>
      <c r="E41" s="179"/>
      <c r="F41" s="179"/>
    </row>
    <row r="42" spans="1:10">
      <c r="C42" s="179"/>
      <c r="D42" s="179"/>
      <c r="E42" s="179"/>
      <c r="F42" s="179"/>
    </row>
    <row r="43" spans="1:10">
      <c r="C43" s="179"/>
      <c r="D43" s="179"/>
      <c r="E43" s="179"/>
      <c r="F43" s="179"/>
    </row>
    <row r="44" spans="1:10">
      <c r="C44" s="179"/>
      <c r="D44" s="179"/>
      <c r="E44" s="179"/>
      <c r="F44" s="179"/>
    </row>
    <row r="45" spans="1:10">
      <c r="C45" s="179"/>
      <c r="D45" s="179"/>
      <c r="E45" s="179"/>
      <c r="F45" s="179"/>
    </row>
    <row r="46" spans="1:10">
      <c r="C46" s="179"/>
      <c r="D46" s="179"/>
      <c r="E46" s="179"/>
      <c r="F46" s="179"/>
    </row>
    <row r="47" spans="1:10">
      <c r="C47" s="179"/>
      <c r="D47" s="179"/>
      <c r="E47" s="179"/>
      <c r="F47" s="179"/>
    </row>
    <row r="48" spans="1:10">
      <c r="C48" s="179"/>
      <c r="D48" s="179"/>
      <c r="E48" s="179"/>
      <c r="F48" s="179"/>
    </row>
    <row r="49" spans="3:6">
      <c r="C49" s="179"/>
      <c r="D49" s="179"/>
      <c r="E49" s="179"/>
      <c r="F49" s="179"/>
    </row>
    <row r="50" spans="3:6">
      <c r="C50" s="179"/>
      <c r="D50" s="179"/>
      <c r="E50" s="179"/>
      <c r="F50" s="179"/>
    </row>
  </sheetData>
  <mergeCells count="3">
    <mergeCell ref="A1:F1"/>
    <mergeCell ref="A2:F2"/>
    <mergeCell ref="A3:F3"/>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F25"/>
  <sheetViews>
    <sheetView workbookViewId="0">
      <selection activeCell="D6" sqref="D6"/>
    </sheetView>
  </sheetViews>
  <sheetFormatPr defaultRowHeight="15"/>
  <cols>
    <col min="1" max="1" width="6.140625" customWidth="1"/>
    <col min="2" max="2" width="54" customWidth="1"/>
    <col min="3" max="3" width="10" customWidth="1"/>
    <col min="4" max="4" width="5.28515625" customWidth="1"/>
    <col min="5" max="5" width="12" bestFit="1" customWidth="1"/>
    <col min="6" max="6" width="12.42578125" customWidth="1"/>
  </cols>
  <sheetData>
    <row r="1" spans="1:6" ht="22.5">
      <c r="A1" s="90"/>
      <c r="B1" s="337" t="s">
        <v>0</v>
      </c>
      <c r="C1" s="337"/>
      <c r="D1" s="337"/>
      <c r="E1" s="337"/>
      <c r="F1" s="337"/>
    </row>
    <row r="2" spans="1:6" ht="22.5">
      <c r="A2" s="90"/>
      <c r="B2" s="338" t="s">
        <v>48</v>
      </c>
      <c r="C2" s="338"/>
      <c r="D2" s="338"/>
      <c r="E2" s="338"/>
      <c r="F2" s="338"/>
    </row>
    <row r="3" spans="1:6" ht="39.75" customHeight="1">
      <c r="A3" s="90"/>
      <c r="B3" s="339" t="s">
        <v>72</v>
      </c>
      <c r="C3" s="339"/>
      <c r="D3" s="339"/>
      <c r="E3" s="339"/>
      <c r="F3" s="339"/>
    </row>
    <row r="4" spans="1:6" ht="25.5">
      <c r="A4" s="73" t="s">
        <v>23</v>
      </c>
      <c r="B4" s="73" t="s">
        <v>73</v>
      </c>
      <c r="C4" s="73" t="s">
        <v>25</v>
      </c>
      <c r="D4" s="73" t="s">
        <v>5</v>
      </c>
      <c r="E4" s="73" t="s">
        <v>26</v>
      </c>
      <c r="F4" s="73" t="s">
        <v>27</v>
      </c>
    </row>
    <row r="5" spans="1:6" ht="25.5">
      <c r="A5" s="67" t="s">
        <v>74</v>
      </c>
      <c r="B5" s="67" t="s">
        <v>75</v>
      </c>
      <c r="C5" s="91">
        <f>[13]Sheet1!G7</f>
        <v>3.3276692155196828</v>
      </c>
      <c r="D5" s="73" t="s">
        <v>28</v>
      </c>
      <c r="E5" s="91">
        <v>1993.04</v>
      </c>
      <c r="F5" s="91">
        <f>ROUND(C5*E5,2)</f>
        <v>6632.18</v>
      </c>
    </row>
    <row r="6" spans="1:6" ht="108">
      <c r="A6" s="92" t="s">
        <v>76</v>
      </c>
      <c r="B6" s="93" t="s">
        <v>77</v>
      </c>
      <c r="C6" s="91">
        <f>[13]Sheet1!G11</f>
        <v>66.738226722052119</v>
      </c>
      <c r="D6" s="70" t="s">
        <v>55</v>
      </c>
      <c r="E6" s="70">
        <v>167.33</v>
      </c>
      <c r="F6" s="91">
        <f t="shared" ref="F6:F20" si="0">ROUND(C6*E6,2)</f>
        <v>11167.31</v>
      </c>
    </row>
    <row r="7" spans="1:6" ht="89.25">
      <c r="A7" s="67" t="s">
        <v>56</v>
      </c>
      <c r="B7" s="72" t="s">
        <v>57</v>
      </c>
      <c r="C7" s="75">
        <f>[13]Sheet1!G15</f>
        <v>5.27</v>
      </c>
      <c r="D7" s="73" t="s">
        <v>55</v>
      </c>
      <c r="E7" s="73">
        <v>347.85</v>
      </c>
      <c r="F7" s="91">
        <f t="shared" si="0"/>
        <v>1833.17</v>
      </c>
    </row>
    <row r="8" spans="1:6" ht="63.75">
      <c r="A8" s="67" t="s">
        <v>78</v>
      </c>
      <c r="B8" s="94" t="s">
        <v>59</v>
      </c>
      <c r="C8" s="75">
        <f>[13]Sheet1!G19</f>
        <v>8.7899999999999991</v>
      </c>
      <c r="D8" s="73" t="s">
        <v>55</v>
      </c>
      <c r="E8" s="75">
        <v>1756.4</v>
      </c>
      <c r="F8" s="91">
        <f t="shared" si="0"/>
        <v>15438.76</v>
      </c>
    </row>
    <row r="9" spans="1:6" ht="38.25">
      <c r="A9" s="67" t="s">
        <v>79</v>
      </c>
      <c r="B9" s="95" t="s">
        <v>80</v>
      </c>
      <c r="C9" s="75">
        <f>[13]Sheet1!G24</f>
        <v>7.12</v>
      </c>
      <c r="D9" s="73" t="s">
        <v>55</v>
      </c>
      <c r="E9" s="75">
        <v>4598.2299999999996</v>
      </c>
      <c r="F9" s="91">
        <f t="shared" si="0"/>
        <v>32739.4</v>
      </c>
    </row>
    <row r="10" spans="1:6" ht="51">
      <c r="A10" s="96" t="s">
        <v>81</v>
      </c>
      <c r="B10" s="95" t="s">
        <v>82</v>
      </c>
      <c r="C10" s="97">
        <f>[13]Sheet1!G28</f>
        <v>22.184460549419427</v>
      </c>
      <c r="D10" s="73" t="s">
        <v>55</v>
      </c>
      <c r="E10" s="76">
        <v>2987.47</v>
      </c>
      <c r="F10" s="91">
        <f t="shared" si="0"/>
        <v>66275.41</v>
      </c>
    </row>
    <row r="11" spans="1:6" ht="63.75">
      <c r="A11" s="98" t="s">
        <v>83</v>
      </c>
      <c r="B11" s="99" t="s">
        <v>84</v>
      </c>
      <c r="C11" s="75">
        <f>[13]Sheet1!G32</f>
        <v>136.50092936802974</v>
      </c>
      <c r="D11" s="73" t="s">
        <v>85</v>
      </c>
      <c r="E11" s="75">
        <v>313.3</v>
      </c>
      <c r="F11" s="91">
        <f t="shared" si="0"/>
        <v>42765.74</v>
      </c>
    </row>
    <row r="12" spans="1:6" ht="102">
      <c r="A12" s="67" t="s">
        <v>86</v>
      </c>
      <c r="B12" s="99" t="s">
        <v>87</v>
      </c>
      <c r="C12" s="75">
        <f>[13]Sheet1!G36</f>
        <v>2.87</v>
      </c>
      <c r="D12" s="73" t="s">
        <v>55</v>
      </c>
      <c r="E12" s="21">
        <v>6308.87</v>
      </c>
      <c r="F12" s="91">
        <f t="shared" si="0"/>
        <v>18106.46</v>
      </c>
    </row>
    <row r="13" spans="1:6" ht="63.75">
      <c r="A13" s="67" t="s">
        <v>88</v>
      </c>
      <c r="B13" s="99" t="s">
        <v>89</v>
      </c>
      <c r="C13" s="75">
        <f>[13]Sheet1!G40</f>
        <v>0.253</v>
      </c>
      <c r="D13" s="73" t="s">
        <v>90</v>
      </c>
      <c r="E13" s="67">
        <v>82096.539999999994</v>
      </c>
      <c r="F13" s="91">
        <f t="shared" si="0"/>
        <v>20770.419999999998</v>
      </c>
    </row>
    <row r="14" spans="1:6" ht="38.25">
      <c r="A14" s="67" t="s">
        <v>91</v>
      </c>
      <c r="B14" s="68" t="s">
        <v>92</v>
      </c>
      <c r="C14" s="71">
        <f>[13]Sheet1!G45</f>
        <v>19.34</v>
      </c>
      <c r="D14" s="74" t="s">
        <v>43</v>
      </c>
      <c r="E14" s="77">
        <v>194.5</v>
      </c>
      <c r="F14" s="91">
        <f t="shared" si="0"/>
        <v>3761.63</v>
      </c>
    </row>
    <row r="15" spans="1:6">
      <c r="A15" s="67">
        <v>11</v>
      </c>
      <c r="B15" s="100" t="s">
        <v>66</v>
      </c>
      <c r="C15" s="67"/>
      <c r="D15" s="67"/>
      <c r="E15" s="67"/>
      <c r="F15" s="91"/>
    </row>
    <row r="16" spans="1:6" ht="15.75">
      <c r="A16" s="82" t="s">
        <v>17</v>
      </c>
      <c r="B16" s="94" t="s">
        <v>93</v>
      </c>
      <c r="C16" s="75">
        <f>[13]Sheet2!F11</f>
        <v>17.41</v>
      </c>
      <c r="D16" s="101" t="s">
        <v>94</v>
      </c>
      <c r="E16" s="55">
        <v>819.06</v>
      </c>
      <c r="F16" s="91">
        <f t="shared" si="0"/>
        <v>14259.83</v>
      </c>
    </row>
    <row r="17" spans="1:6" ht="15.75">
      <c r="A17" s="102" t="s">
        <v>18</v>
      </c>
      <c r="B17" s="94" t="s">
        <v>70</v>
      </c>
      <c r="C17" s="75">
        <f>[13]Sheet2!E11</f>
        <v>5.27</v>
      </c>
      <c r="D17" s="101" t="s">
        <v>94</v>
      </c>
      <c r="E17" s="49">
        <v>417.3</v>
      </c>
      <c r="F17" s="91">
        <f t="shared" si="0"/>
        <v>2199.17</v>
      </c>
    </row>
    <row r="18" spans="1:6" ht="15.75">
      <c r="A18" s="102" t="s">
        <v>19</v>
      </c>
      <c r="B18" s="94" t="s">
        <v>95</v>
      </c>
      <c r="C18" s="75">
        <f>[13]Sheet2!H11</f>
        <v>30.974460549419426</v>
      </c>
      <c r="D18" s="101" t="s">
        <v>94</v>
      </c>
      <c r="E18" s="49">
        <v>648.59</v>
      </c>
      <c r="F18" s="91">
        <f t="shared" si="0"/>
        <v>20089.73</v>
      </c>
    </row>
    <row r="19" spans="1:6" ht="15.75">
      <c r="A19" s="102" t="s">
        <v>20</v>
      </c>
      <c r="B19" s="94" t="s">
        <v>68</v>
      </c>
      <c r="C19" s="75">
        <f>[13]Sheet2!G11</f>
        <v>8.9</v>
      </c>
      <c r="D19" s="101" t="s">
        <v>94</v>
      </c>
      <c r="E19" s="49">
        <v>417.3</v>
      </c>
      <c r="F19" s="91">
        <f t="shared" si="0"/>
        <v>3713.97</v>
      </c>
    </row>
    <row r="20" spans="1:6" ht="15.75">
      <c r="A20" s="102" t="s">
        <v>21</v>
      </c>
      <c r="B20" s="94" t="s">
        <v>37</v>
      </c>
      <c r="C20" s="75">
        <f>[13]Sheet2!I11</f>
        <v>66.738226722052119</v>
      </c>
      <c r="D20" s="101" t="s">
        <v>94</v>
      </c>
      <c r="E20" s="55">
        <v>117.54</v>
      </c>
      <c r="F20" s="91">
        <f t="shared" si="0"/>
        <v>7844.41</v>
      </c>
    </row>
    <row r="21" spans="1:6">
      <c r="A21" s="103"/>
      <c r="B21" s="103"/>
      <c r="C21" s="103"/>
      <c r="D21" s="103"/>
      <c r="E21" s="104" t="s">
        <v>10</v>
      </c>
      <c r="F21" s="83">
        <f>SUM(F5:F20)</f>
        <v>267597.58999999997</v>
      </c>
    </row>
    <row r="22" spans="1:6">
      <c r="A22" s="340" t="s">
        <v>96</v>
      </c>
      <c r="B22" s="341"/>
      <c r="C22" s="341"/>
      <c r="D22" s="341"/>
      <c r="E22" s="342"/>
      <c r="F22" s="83">
        <f>F21*18%</f>
        <v>48167.566199999994</v>
      </c>
    </row>
    <row r="23" spans="1:6">
      <c r="A23" s="334" t="s">
        <v>97</v>
      </c>
      <c r="B23" s="335"/>
      <c r="C23" s="335"/>
      <c r="D23" s="335"/>
      <c r="E23" s="336"/>
      <c r="F23" s="83">
        <f>SUM(F21:F22)</f>
        <v>315765.15619999997</v>
      </c>
    </row>
    <row r="24" spans="1:6">
      <c r="A24" s="340" t="s">
        <v>98</v>
      </c>
      <c r="B24" s="341"/>
      <c r="C24" s="341"/>
      <c r="D24" s="341"/>
      <c r="E24" s="342"/>
      <c r="F24" s="105">
        <f>F23*1%</f>
        <v>3157.6515619999996</v>
      </c>
    </row>
    <row r="25" spans="1:6">
      <c r="A25" s="334" t="s">
        <v>97</v>
      </c>
      <c r="B25" s="335"/>
      <c r="C25" s="335"/>
      <c r="D25" s="335"/>
      <c r="E25" s="336"/>
      <c r="F25" s="106">
        <f>SUM(F23:F24)</f>
        <v>318922.80776199995</v>
      </c>
    </row>
  </sheetData>
  <mergeCells count="7">
    <mergeCell ref="A25:E25"/>
    <mergeCell ref="B1:F1"/>
    <mergeCell ref="B2:F2"/>
    <mergeCell ref="B3:F3"/>
    <mergeCell ref="A22:E22"/>
    <mergeCell ref="A23:E23"/>
    <mergeCell ref="A24:E24"/>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F20"/>
  <sheetViews>
    <sheetView topLeftCell="A6" workbookViewId="0">
      <selection activeCell="A8" sqref="A8:B8"/>
    </sheetView>
  </sheetViews>
  <sheetFormatPr defaultRowHeight="12"/>
  <cols>
    <col min="1" max="1" width="6.140625" style="65" customWidth="1"/>
    <col min="2" max="2" width="60.85546875" style="65" customWidth="1"/>
    <col min="3" max="3" width="13" style="65" customWidth="1"/>
    <col min="4" max="4" width="5.42578125" style="65" customWidth="1"/>
    <col min="5" max="5" width="9.5703125" style="65" customWidth="1"/>
    <col min="6" max="6" width="13" style="65" customWidth="1"/>
    <col min="7" max="16384" width="9.140625" style="65"/>
  </cols>
  <sheetData>
    <row r="1" spans="1:6" ht="33" customHeight="1">
      <c r="A1" s="345" t="s">
        <v>0</v>
      </c>
      <c r="B1" s="345"/>
      <c r="C1" s="345"/>
      <c r="D1" s="345"/>
      <c r="E1" s="345"/>
      <c r="F1" s="345"/>
    </row>
    <row r="2" spans="1:6" ht="33" customHeight="1">
      <c r="A2" s="136"/>
      <c r="B2" s="346" t="s">
        <v>48</v>
      </c>
      <c r="C2" s="347"/>
      <c r="D2" s="347"/>
      <c r="E2" s="347"/>
      <c r="F2" s="348"/>
    </row>
    <row r="3" spans="1:6" ht="34.5" customHeight="1">
      <c r="A3" s="349" t="s">
        <v>127</v>
      </c>
      <c r="B3" s="349"/>
      <c r="C3" s="349"/>
      <c r="D3" s="349"/>
      <c r="E3" s="349"/>
      <c r="F3" s="349"/>
    </row>
    <row r="4" spans="1:6" ht="29.25" customHeight="1">
      <c r="A4" s="56" t="s">
        <v>50</v>
      </c>
      <c r="B4" s="56" t="s">
        <v>51</v>
      </c>
      <c r="C4" s="56" t="s">
        <v>52</v>
      </c>
      <c r="D4" s="56" t="s">
        <v>5</v>
      </c>
      <c r="E4" s="56" t="s">
        <v>26</v>
      </c>
      <c r="F4" s="56" t="s">
        <v>27</v>
      </c>
    </row>
    <row r="5" spans="1:6" ht="102">
      <c r="A5" s="67" t="s">
        <v>53</v>
      </c>
      <c r="B5" s="68" t="s">
        <v>54</v>
      </c>
      <c r="C5" s="69">
        <f>[14]Sheet1!G7</f>
        <v>47.58</v>
      </c>
      <c r="D5" s="69" t="s">
        <v>55</v>
      </c>
      <c r="E5" s="70">
        <v>167.33</v>
      </c>
      <c r="F5" s="71">
        <f>ROUND(E5*C5,2)</f>
        <v>7961.56</v>
      </c>
    </row>
    <row r="6" spans="1:6" ht="89.25">
      <c r="A6" s="67" t="s">
        <v>56</v>
      </c>
      <c r="B6" s="72" t="s">
        <v>57</v>
      </c>
      <c r="C6" s="73">
        <f>[14]Sheet1!G11</f>
        <v>23.790000000000003</v>
      </c>
      <c r="D6" s="73" t="s">
        <v>55</v>
      </c>
      <c r="E6" s="73">
        <v>347.85</v>
      </c>
      <c r="F6" s="71">
        <f t="shared" ref="F6:F15" si="0">ROUND(E6*C6,2)</f>
        <v>8275.35</v>
      </c>
    </row>
    <row r="7" spans="1:6" ht="51">
      <c r="A7" s="67" t="s">
        <v>58</v>
      </c>
      <c r="B7" s="68" t="s">
        <v>59</v>
      </c>
      <c r="C7" s="71">
        <f>[14]Sheet1!G16</f>
        <v>60.89</v>
      </c>
      <c r="D7" s="74" t="s">
        <v>55</v>
      </c>
      <c r="E7" s="75">
        <v>1756.4</v>
      </c>
      <c r="F7" s="71">
        <f t="shared" si="0"/>
        <v>106947.2</v>
      </c>
    </row>
    <row r="8" spans="1:6" ht="76.5">
      <c r="A8" s="67" t="s">
        <v>128</v>
      </c>
      <c r="B8" s="68" t="s">
        <v>63</v>
      </c>
      <c r="C8" s="71">
        <f>[14]Sheet1!G21</f>
        <v>84.97</v>
      </c>
      <c r="D8" s="74" t="s">
        <v>55</v>
      </c>
      <c r="E8" s="77">
        <v>4961.7299999999996</v>
      </c>
      <c r="F8" s="71">
        <f t="shared" si="0"/>
        <v>421598.2</v>
      </c>
    </row>
    <row r="9" spans="1:6" ht="38.25">
      <c r="A9" s="67" t="s">
        <v>129</v>
      </c>
      <c r="B9" s="68" t="s">
        <v>130</v>
      </c>
      <c r="C9" s="71">
        <f>[14]Sheet1!G26</f>
        <v>46.47</v>
      </c>
      <c r="D9" s="74" t="s">
        <v>43</v>
      </c>
      <c r="E9" s="77">
        <v>194.5</v>
      </c>
      <c r="F9" s="71">
        <f t="shared" si="0"/>
        <v>9038.42</v>
      </c>
    </row>
    <row r="10" spans="1:6" ht="26.25" customHeight="1">
      <c r="A10" s="67">
        <v>6</v>
      </c>
      <c r="B10" s="137" t="s">
        <v>131</v>
      </c>
      <c r="C10" s="71"/>
      <c r="D10" s="74"/>
      <c r="E10" s="77"/>
      <c r="F10" s="71"/>
    </row>
    <row r="11" spans="1:6" ht="26.25" customHeight="1">
      <c r="A11" s="82" t="s">
        <v>17</v>
      </c>
      <c r="B11" s="68" t="s">
        <v>67</v>
      </c>
      <c r="C11" s="77">
        <f>[14]Sheet2!F7</f>
        <v>36.54</v>
      </c>
      <c r="D11" s="74" t="s">
        <v>55</v>
      </c>
      <c r="E11" s="71">
        <v>819.06</v>
      </c>
      <c r="F11" s="71">
        <f t="shared" si="0"/>
        <v>29928.45</v>
      </c>
    </row>
    <row r="12" spans="1:6" ht="26.25" customHeight="1">
      <c r="A12" s="74" t="s">
        <v>18</v>
      </c>
      <c r="B12" s="68" t="s">
        <v>68</v>
      </c>
      <c r="C12" s="74">
        <f>[14]Sheet2!D7</f>
        <v>73.08</v>
      </c>
      <c r="D12" s="74" t="s">
        <v>55</v>
      </c>
      <c r="E12" s="49">
        <v>417.3</v>
      </c>
      <c r="F12" s="71">
        <f t="shared" si="0"/>
        <v>30496.28</v>
      </c>
    </row>
    <row r="13" spans="1:6" ht="26.25" customHeight="1">
      <c r="A13" s="74" t="s">
        <v>19</v>
      </c>
      <c r="B13" s="68" t="s">
        <v>69</v>
      </c>
      <c r="C13" s="77">
        <f>[14]Sheet2!H7</f>
        <v>60.89</v>
      </c>
      <c r="D13" s="74" t="s">
        <v>55</v>
      </c>
      <c r="E13" s="49">
        <v>648.59</v>
      </c>
      <c r="F13" s="71">
        <f t="shared" si="0"/>
        <v>39492.65</v>
      </c>
    </row>
    <row r="14" spans="1:6" ht="26.25" customHeight="1">
      <c r="A14" s="82" t="s">
        <v>20</v>
      </c>
      <c r="B14" s="68" t="s">
        <v>70</v>
      </c>
      <c r="C14" s="77">
        <f>[14]Sheet2!E7</f>
        <v>23.790000000000003</v>
      </c>
      <c r="D14" s="74" t="s">
        <v>55</v>
      </c>
      <c r="E14" s="49">
        <v>417.3</v>
      </c>
      <c r="F14" s="71">
        <f t="shared" si="0"/>
        <v>9927.57</v>
      </c>
    </row>
    <row r="15" spans="1:6" ht="20.25" customHeight="1">
      <c r="A15" s="82" t="s">
        <v>21</v>
      </c>
      <c r="B15" s="84" t="s">
        <v>37</v>
      </c>
      <c r="C15" s="77">
        <f>[14]Sheet2!G7</f>
        <v>47.58</v>
      </c>
      <c r="D15" s="74" t="s">
        <v>55</v>
      </c>
      <c r="E15" s="49">
        <v>117.54</v>
      </c>
      <c r="F15" s="71">
        <f t="shared" si="0"/>
        <v>5592.55</v>
      </c>
    </row>
    <row r="16" spans="1:6" ht="20.25" customHeight="1">
      <c r="A16" s="85"/>
      <c r="B16" s="80"/>
      <c r="C16" s="80"/>
      <c r="D16" s="80"/>
      <c r="E16" s="81" t="s">
        <v>10</v>
      </c>
      <c r="F16" s="86">
        <f>SUM(F5:F15)</f>
        <v>669258.2300000001</v>
      </c>
    </row>
    <row r="17" spans="1:6" ht="20.25" customHeight="1">
      <c r="A17" s="85"/>
      <c r="B17" s="80"/>
      <c r="C17" s="350"/>
      <c r="D17" s="350"/>
      <c r="E17" s="350"/>
      <c r="F17" s="71">
        <f>ROUND(F16*18/100,2)</f>
        <v>120466.48</v>
      </c>
    </row>
    <row r="18" spans="1:6" ht="20.25" customHeight="1">
      <c r="A18" s="85"/>
      <c r="B18" s="80"/>
      <c r="C18" s="80"/>
      <c r="D18" s="350" t="s">
        <v>71</v>
      </c>
      <c r="E18" s="350"/>
      <c r="F18" s="71">
        <f>SUM(F16:F17)</f>
        <v>789724.71000000008</v>
      </c>
    </row>
    <row r="19" spans="1:6" ht="21" customHeight="1">
      <c r="A19" s="85"/>
      <c r="B19" s="80"/>
      <c r="C19" s="351"/>
      <c r="D19" s="351"/>
      <c r="E19" s="344"/>
      <c r="F19" s="71">
        <f>ROUND(F18*1/100,2)</f>
        <v>7897.25</v>
      </c>
    </row>
    <row r="20" spans="1:6" ht="22.5" customHeight="1">
      <c r="A20" s="85"/>
      <c r="B20" s="80"/>
      <c r="C20" s="80"/>
      <c r="D20" s="343" t="s">
        <v>71</v>
      </c>
      <c r="E20" s="344"/>
      <c r="F20" s="71">
        <f>SUM(F18:F19)</f>
        <v>797621.96000000008</v>
      </c>
    </row>
  </sheetData>
  <mergeCells count="7">
    <mergeCell ref="D20:E20"/>
    <mergeCell ref="A1:F1"/>
    <mergeCell ref="B2:F2"/>
    <mergeCell ref="A3:F3"/>
    <mergeCell ref="C17:E17"/>
    <mergeCell ref="D18:E18"/>
    <mergeCell ref="C19:E19"/>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I32"/>
  <sheetViews>
    <sheetView workbookViewId="0">
      <selection activeCell="A5" sqref="A5"/>
    </sheetView>
  </sheetViews>
  <sheetFormatPr defaultRowHeight="63.75" customHeight="1"/>
  <cols>
    <col min="1" max="1" width="8.140625" style="108" customWidth="1"/>
    <col min="2" max="2" width="58.7109375" style="108" customWidth="1"/>
    <col min="3" max="3" width="9.7109375" style="108" bestFit="1" customWidth="1"/>
    <col min="4" max="4" width="5.28515625" style="108" customWidth="1"/>
    <col min="5" max="5" width="12" style="108" bestFit="1" customWidth="1"/>
    <col min="6" max="6" width="13.140625" style="108" customWidth="1"/>
    <col min="7" max="16384" width="9.140625" style="108"/>
  </cols>
  <sheetData>
    <row r="1" spans="1:9" ht="22.5" customHeight="1">
      <c r="A1" s="107"/>
      <c r="B1" s="356" t="s">
        <v>0</v>
      </c>
      <c r="C1" s="356"/>
      <c r="D1" s="356"/>
      <c r="E1" s="356"/>
      <c r="F1" s="356"/>
      <c r="G1" s="107"/>
    </row>
    <row r="2" spans="1:9" ht="22.5" customHeight="1">
      <c r="A2" s="107"/>
      <c r="B2" s="338" t="s">
        <v>48</v>
      </c>
      <c r="C2" s="338"/>
      <c r="D2" s="338"/>
      <c r="E2" s="338"/>
      <c r="F2" s="338"/>
      <c r="G2" s="107"/>
    </row>
    <row r="3" spans="1:9" ht="32.25" customHeight="1">
      <c r="A3" s="357" t="s">
        <v>99</v>
      </c>
      <c r="B3" s="357"/>
      <c r="C3" s="357"/>
      <c r="D3" s="357"/>
      <c r="E3" s="357"/>
      <c r="F3" s="358"/>
      <c r="G3" s="109"/>
    </row>
    <row r="4" spans="1:9" ht="30" customHeight="1">
      <c r="A4" s="67" t="s">
        <v>23</v>
      </c>
      <c r="B4" s="67" t="s">
        <v>24</v>
      </c>
      <c r="C4" s="67" t="s">
        <v>25</v>
      </c>
      <c r="D4" s="67" t="s">
        <v>5</v>
      </c>
      <c r="E4" s="67" t="s">
        <v>26</v>
      </c>
      <c r="F4" s="74" t="s">
        <v>27</v>
      </c>
      <c r="G4" s="107"/>
    </row>
    <row r="5" spans="1:9" ht="102">
      <c r="A5" s="110" t="s">
        <v>100</v>
      </c>
      <c r="B5" s="68" t="s">
        <v>54</v>
      </c>
      <c r="C5" s="69">
        <f>[15]Sheet1!G8</f>
        <v>4.47</v>
      </c>
      <c r="D5" s="74" t="s">
        <v>55</v>
      </c>
      <c r="E5" s="74">
        <v>153.84</v>
      </c>
      <c r="F5" s="71">
        <f>ROUND(C5*E5,2)</f>
        <v>687.66</v>
      </c>
      <c r="G5" s="107"/>
      <c r="I5" s="111"/>
    </row>
    <row r="6" spans="1:9">
      <c r="A6" s="67" t="s">
        <v>56</v>
      </c>
      <c r="B6" s="72" t="s">
        <v>101</v>
      </c>
      <c r="C6" s="69">
        <f>[15]Sheet1!G11</f>
        <v>0.32</v>
      </c>
      <c r="D6" s="74" t="s">
        <v>55</v>
      </c>
      <c r="E6" s="74">
        <v>347.85</v>
      </c>
      <c r="F6" s="71">
        <f t="shared" ref="F6:F19" si="0">ROUND(C6*E6,2)</f>
        <v>111.31</v>
      </c>
      <c r="G6" s="107"/>
      <c r="I6" s="111"/>
    </row>
    <row r="7" spans="1:9" ht="30">
      <c r="A7" s="112" t="s">
        <v>102</v>
      </c>
      <c r="B7" s="113" t="s">
        <v>103</v>
      </c>
      <c r="C7" s="69">
        <f>[15]Sheet1!G14</f>
        <v>4.1899999999999995</v>
      </c>
      <c r="D7" s="74" t="s">
        <v>85</v>
      </c>
      <c r="E7" s="114">
        <v>330.34</v>
      </c>
      <c r="F7" s="71">
        <f t="shared" si="0"/>
        <v>1384.12</v>
      </c>
      <c r="G7" s="107"/>
      <c r="I7" s="111"/>
    </row>
    <row r="8" spans="1:9" ht="94.5">
      <c r="A8" s="115" t="s">
        <v>104</v>
      </c>
      <c r="B8" s="116" t="s">
        <v>105</v>
      </c>
      <c r="C8" s="69">
        <f>[15]Sheet1!G20</f>
        <v>2.11</v>
      </c>
      <c r="D8" s="74" t="s">
        <v>55</v>
      </c>
      <c r="E8" s="75">
        <v>6308.87</v>
      </c>
      <c r="F8" s="71">
        <f t="shared" si="0"/>
        <v>13311.72</v>
      </c>
      <c r="G8" s="107"/>
      <c r="I8" s="111"/>
    </row>
    <row r="9" spans="1:9" ht="38.25">
      <c r="A9" s="117" t="s">
        <v>106</v>
      </c>
      <c r="B9" s="118" t="s">
        <v>107</v>
      </c>
      <c r="C9" s="119">
        <f>[15]Sheet1!G25</f>
        <v>889.6875</v>
      </c>
      <c r="D9" s="120" t="s">
        <v>44</v>
      </c>
      <c r="E9" s="55">
        <v>82.31</v>
      </c>
      <c r="F9" s="71">
        <f t="shared" si="0"/>
        <v>73230.179999999993</v>
      </c>
      <c r="G9" s="107"/>
      <c r="I9" s="111"/>
    </row>
    <row r="10" spans="1:9" ht="25.5" customHeight="1">
      <c r="A10" s="121" t="s">
        <v>108</v>
      </c>
      <c r="B10" s="118" t="s">
        <v>109</v>
      </c>
      <c r="C10" s="122">
        <f>[15]Sheet1!G28</f>
        <v>49.610827137546472</v>
      </c>
      <c r="D10" s="120" t="s">
        <v>43</v>
      </c>
      <c r="E10" s="122">
        <v>90.86</v>
      </c>
      <c r="F10" s="71">
        <f t="shared" si="0"/>
        <v>4507.6400000000003</v>
      </c>
      <c r="G10" s="107"/>
      <c r="I10" s="111"/>
    </row>
    <row r="11" spans="1:9" ht="94.5">
      <c r="A11" s="115" t="s">
        <v>110</v>
      </c>
      <c r="B11" s="123" t="s">
        <v>111</v>
      </c>
      <c r="C11" s="124">
        <f>[15]Sheet1!G33</f>
        <v>0.06</v>
      </c>
      <c r="D11" s="125" t="s">
        <v>90</v>
      </c>
      <c r="E11" s="125">
        <v>83314.02</v>
      </c>
      <c r="F11" s="71">
        <f t="shared" si="0"/>
        <v>4998.84</v>
      </c>
      <c r="G11" s="107"/>
      <c r="I11" s="111"/>
    </row>
    <row r="12" spans="1:9" ht="94.5">
      <c r="A12" s="115" t="s">
        <v>110</v>
      </c>
      <c r="B12" s="123" t="s">
        <v>111</v>
      </c>
      <c r="C12" s="115">
        <f>[15]Sheet1!G35</f>
        <v>0.11</v>
      </c>
      <c r="D12" s="125" t="s">
        <v>90</v>
      </c>
      <c r="E12" s="73">
        <v>82096.539999999994</v>
      </c>
      <c r="F12" s="71">
        <f t="shared" si="0"/>
        <v>9030.6200000000008</v>
      </c>
      <c r="G12" s="107"/>
      <c r="I12" s="111"/>
    </row>
    <row r="13" spans="1:9" ht="86.25">
      <c r="A13" s="126" t="s">
        <v>112</v>
      </c>
      <c r="B13" s="127" t="s">
        <v>113</v>
      </c>
      <c r="C13" s="128">
        <f>[15]Sheet1!G40</f>
        <v>46.52</v>
      </c>
      <c r="D13" s="129" t="s">
        <v>114</v>
      </c>
      <c r="E13" s="130">
        <v>165.5</v>
      </c>
      <c r="F13" s="71">
        <f t="shared" si="0"/>
        <v>7699.06</v>
      </c>
      <c r="G13" s="107"/>
      <c r="I13" s="111"/>
    </row>
    <row r="14" spans="1:9" ht="25.5">
      <c r="A14" s="117" t="s">
        <v>115</v>
      </c>
      <c r="B14" s="118" t="s">
        <v>116</v>
      </c>
      <c r="C14" s="74">
        <f>[15]Sheet1!G44</f>
        <v>46.54</v>
      </c>
      <c r="D14" s="74" t="s">
        <v>85</v>
      </c>
      <c r="E14" s="71">
        <v>109.07</v>
      </c>
      <c r="F14" s="71">
        <f t="shared" si="0"/>
        <v>5076.12</v>
      </c>
      <c r="G14" s="107"/>
      <c r="I14" s="111"/>
    </row>
    <row r="15" spans="1:9" ht="15.75">
      <c r="A15" s="110">
        <v>10</v>
      </c>
      <c r="B15" s="131" t="s">
        <v>66</v>
      </c>
      <c r="C15" s="74"/>
      <c r="D15" s="74"/>
      <c r="E15" s="74"/>
      <c r="F15" s="71"/>
      <c r="G15" s="107"/>
    </row>
    <row r="16" spans="1:9" ht="15.75">
      <c r="A16" s="110" t="s">
        <v>17</v>
      </c>
      <c r="B16" s="94" t="s">
        <v>37</v>
      </c>
      <c r="C16" s="74">
        <f>[15]Sheet2!H7</f>
        <v>4.47</v>
      </c>
      <c r="D16" s="101" t="s">
        <v>94</v>
      </c>
      <c r="E16" s="55">
        <v>117.54</v>
      </c>
      <c r="F16" s="71">
        <f t="shared" si="0"/>
        <v>525.4</v>
      </c>
    </row>
    <row r="17" spans="1:6" ht="15">
      <c r="A17" s="112" t="s">
        <v>117</v>
      </c>
      <c r="B17" s="94" t="s">
        <v>118</v>
      </c>
      <c r="C17" s="74">
        <f>[15]Sheet2!F7</f>
        <v>1.6300000000000001</v>
      </c>
      <c r="D17" s="101" t="s">
        <v>28</v>
      </c>
      <c r="E17" s="55">
        <v>819.06</v>
      </c>
      <c r="F17" s="71">
        <f t="shared" si="0"/>
        <v>1335.07</v>
      </c>
    </row>
    <row r="18" spans="1:6" ht="15">
      <c r="A18" s="112" t="s">
        <v>119</v>
      </c>
      <c r="B18" s="94" t="s">
        <v>120</v>
      </c>
      <c r="C18" s="74">
        <f>[15]Sheet2!E7</f>
        <v>0.32</v>
      </c>
      <c r="D18" s="101" t="s">
        <v>28</v>
      </c>
      <c r="E18" s="49">
        <v>417.3</v>
      </c>
      <c r="F18" s="71">
        <f t="shared" si="0"/>
        <v>133.54</v>
      </c>
    </row>
    <row r="19" spans="1:6" ht="15">
      <c r="A19" s="112" t="s">
        <v>121</v>
      </c>
      <c r="B19" s="94" t="s">
        <v>122</v>
      </c>
      <c r="C19" s="74">
        <f>[15]Sheet2!G7</f>
        <v>1.82</v>
      </c>
      <c r="D19" s="101" t="s">
        <v>28</v>
      </c>
      <c r="E19" s="49">
        <v>417.3</v>
      </c>
      <c r="F19" s="71">
        <f t="shared" si="0"/>
        <v>759.49</v>
      </c>
    </row>
    <row r="20" spans="1:6" ht="15">
      <c r="A20" s="112"/>
      <c r="B20" s="359" t="s">
        <v>10</v>
      </c>
      <c r="C20" s="360"/>
      <c r="D20" s="360"/>
      <c r="E20" s="361"/>
      <c r="F20" s="132">
        <f>SUM(F5:F19)</f>
        <v>122790.76999999997</v>
      </c>
    </row>
    <row r="21" spans="1:6" ht="15">
      <c r="A21" s="112"/>
      <c r="B21" s="352" t="s">
        <v>123</v>
      </c>
      <c r="C21" s="353"/>
      <c r="D21" s="353"/>
      <c r="E21" s="354"/>
      <c r="F21" s="132">
        <f>F20*18%</f>
        <v>22102.338599999995</v>
      </c>
    </row>
    <row r="22" spans="1:6" ht="15">
      <c r="A22" s="112"/>
      <c r="B22" s="359" t="s">
        <v>124</v>
      </c>
      <c r="C22" s="360"/>
      <c r="D22" s="360"/>
      <c r="E22" s="361"/>
      <c r="F22" s="132">
        <f>SUM(F20:F21)</f>
        <v>144893.10859999998</v>
      </c>
    </row>
    <row r="23" spans="1:6" ht="15">
      <c r="A23" s="112"/>
      <c r="B23" s="352" t="s">
        <v>125</v>
      </c>
      <c r="C23" s="353"/>
      <c r="D23" s="353"/>
      <c r="E23" s="354"/>
      <c r="F23" s="132">
        <f>ROUND(F22*1/100,2)</f>
        <v>1448.93</v>
      </c>
    </row>
    <row r="24" spans="1:6" ht="15">
      <c r="A24" s="112"/>
      <c r="B24" s="133"/>
      <c r="C24" s="134"/>
      <c r="D24" s="134" t="s">
        <v>126</v>
      </c>
      <c r="E24" s="135"/>
      <c r="F24" s="132">
        <f>SUM(F22:F23)</f>
        <v>146342.03859999997</v>
      </c>
    </row>
    <row r="25" spans="1:6" ht="26.25">
      <c r="A25" s="355"/>
      <c r="B25" s="355"/>
      <c r="C25" s="355"/>
      <c r="D25" s="355"/>
      <c r="E25" s="355"/>
      <c r="F25" s="355"/>
    </row>
    <row r="26" spans="1:6" ht="12.75"/>
    <row r="27" spans="1:6" ht="12.75"/>
    <row r="28" spans="1:6" ht="12.75"/>
    <row r="29" spans="1:6" ht="12.75"/>
    <row r="30" spans="1:6" ht="12.75"/>
    <row r="31" spans="1:6" ht="12.75"/>
    <row r="32" spans="1:6" ht="12.75"/>
  </sheetData>
  <mergeCells count="8">
    <mergeCell ref="B23:E23"/>
    <mergeCell ref="A25:F25"/>
    <mergeCell ref="B1:F1"/>
    <mergeCell ref="B2:F2"/>
    <mergeCell ref="A3:F3"/>
    <mergeCell ref="B20:E20"/>
    <mergeCell ref="B21:E21"/>
    <mergeCell ref="B22:E22"/>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F27"/>
  <sheetViews>
    <sheetView workbookViewId="0">
      <selection activeCell="B4" sqref="B4"/>
    </sheetView>
  </sheetViews>
  <sheetFormatPr defaultRowHeight="12"/>
  <cols>
    <col min="1" max="1" width="6.140625" style="65" customWidth="1"/>
    <col min="2" max="2" width="54" style="65" customWidth="1"/>
    <col min="3" max="3" width="13" style="65" customWidth="1"/>
    <col min="4" max="4" width="5.42578125" style="65" customWidth="1"/>
    <col min="5" max="5" width="9.85546875" style="65" customWidth="1"/>
    <col min="6" max="6" width="13.7109375" style="65" customWidth="1"/>
    <col min="7" max="16384" width="9.140625" style="65"/>
  </cols>
  <sheetData>
    <row r="1" spans="1:6" ht="33">
      <c r="A1" s="362" t="s">
        <v>0</v>
      </c>
      <c r="B1" s="362"/>
      <c r="C1" s="362"/>
      <c r="D1" s="362"/>
      <c r="E1" s="362"/>
      <c r="F1" s="362"/>
    </row>
    <row r="2" spans="1:6" ht="33">
      <c r="A2" s="66"/>
      <c r="B2" s="363" t="s">
        <v>48</v>
      </c>
      <c r="C2" s="363"/>
      <c r="D2" s="363"/>
      <c r="E2" s="363"/>
      <c r="F2" s="363"/>
    </row>
    <row r="3" spans="1:6" ht="39.75" customHeight="1">
      <c r="A3" s="364" t="s">
        <v>49</v>
      </c>
      <c r="B3" s="364"/>
      <c r="C3" s="364"/>
      <c r="D3" s="364"/>
      <c r="E3" s="364"/>
      <c r="F3" s="364"/>
    </row>
    <row r="4" spans="1:6" ht="25.5">
      <c r="A4" s="56" t="s">
        <v>50</v>
      </c>
      <c r="B4" s="56" t="s">
        <v>51</v>
      </c>
      <c r="C4" s="56" t="s">
        <v>52</v>
      </c>
      <c r="D4" s="56" t="s">
        <v>5</v>
      </c>
      <c r="E4" s="56" t="s">
        <v>26</v>
      </c>
      <c r="F4" s="56" t="s">
        <v>27</v>
      </c>
    </row>
    <row r="5" spans="1:6" ht="102">
      <c r="A5" s="67" t="s">
        <v>53</v>
      </c>
      <c r="B5" s="68" t="s">
        <v>54</v>
      </c>
      <c r="C5" s="69">
        <f>[16]Sheet1!G8</f>
        <v>43.9</v>
      </c>
      <c r="D5" s="69" t="s">
        <v>55</v>
      </c>
      <c r="E5" s="70">
        <v>167.33</v>
      </c>
      <c r="F5" s="71">
        <f>ROUND(E5*C5,2)</f>
        <v>7345.79</v>
      </c>
    </row>
    <row r="6" spans="1:6" ht="89.25">
      <c r="A6" s="67" t="s">
        <v>56</v>
      </c>
      <c r="B6" s="72" t="s">
        <v>57</v>
      </c>
      <c r="C6" s="73">
        <f>[16]Sheet1!G13</f>
        <v>10.91</v>
      </c>
      <c r="D6" s="73" t="s">
        <v>55</v>
      </c>
      <c r="E6" s="73">
        <v>347.85</v>
      </c>
      <c r="F6" s="71">
        <f t="shared" ref="F6:F16" si="0">ROUND(E6*C6,2)</f>
        <v>3795.04</v>
      </c>
    </row>
    <row r="7" spans="1:6" ht="63.75">
      <c r="A7" s="67" t="s">
        <v>58</v>
      </c>
      <c r="B7" s="68" t="s">
        <v>59</v>
      </c>
      <c r="C7" s="71">
        <f>[16]Sheet1!G17</f>
        <v>1.19</v>
      </c>
      <c r="D7" s="74" t="s">
        <v>55</v>
      </c>
      <c r="E7" s="75">
        <v>1756.4</v>
      </c>
      <c r="F7" s="71">
        <f t="shared" si="0"/>
        <v>2090.12</v>
      </c>
    </row>
    <row r="8" spans="1:6" ht="76.5">
      <c r="A8" s="67" t="s">
        <v>60</v>
      </c>
      <c r="B8" s="68" t="s">
        <v>61</v>
      </c>
      <c r="C8" s="71">
        <f>[16]Sheet1!G20</f>
        <v>6.38</v>
      </c>
      <c r="D8" s="74" t="s">
        <v>55</v>
      </c>
      <c r="E8" s="76">
        <v>2987.47</v>
      </c>
      <c r="F8" s="71">
        <f t="shared" si="0"/>
        <v>19060.060000000001</v>
      </c>
    </row>
    <row r="9" spans="1:6" ht="89.25">
      <c r="A9" s="67" t="s">
        <v>62</v>
      </c>
      <c r="B9" s="68" t="s">
        <v>63</v>
      </c>
      <c r="C9" s="71">
        <f>[16]Sheet1!G26</f>
        <v>21.28</v>
      </c>
      <c r="D9" s="74" t="s">
        <v>55</v>
      </c>
      <c r="E9" s="77">
        <v>4961.7299999999996</v>
      </c>
      <c r="F9" s="71">
        <f t="shared" si="0"/>
        <v>105585.61</v>
      </c>
    </row>
    <row r="10" spans="1:6" ht="90">
      <c r="A10" s="67" t="s">
        <v>64</v>
      </c>
      <c r="B10" s="78" t="s">
        <v>65</v>
      </c>
      <c r="C10" s="71">
        <f>[16]Sheet1!G30</f>
        <v>20.400000000000002</v>
      </c>
      <c r="D10" s="69" t="s">
        <v>55</v>
      </c>
      <c r="E10" s="71">
        <v>1316.7</v>
      </c>
      <c r="F10" s="71">
        <f t="shared" si="0"/>
        <v>26860.68</v>
      </c>
    </row>
    <row r="11" spans="1:6" ht="18">
      <c r="A11" s="74">
        <v>8</v>
      </c>
      <c r="B11" s="79" t="s">
        <v>66</v>
      </c>
      <c r="C11" s="80"/>
      <c r="D11" s="80"/>
      <c r="E11" s="81"/>
      <c r="F11" s="71">
        <f t="shared" si="0"/>
        <v>0</v>
      </c>
    </row>
    <row r="12" spans="1:6" ht="12.75">
      <c r="A12" s="82" t="s">
        <v>17</v>
      </c>
      <c r="B12" s="68" t="s">
        <v>67</v>
      </c>
      <c r="C12" s="77">
        <f>[16]Sheet2!F9</f>
        <v>9.15</v>
      </c>
      <c r="D12" s="80" t="s">
        <v>55</v>
      </c>
      <c r="E12" s="69">
        <v>819.06</v>
      </c>
      <c r="F12" s="71">
        <f t="shared" si="0"/>
        <v>7494.4</v>
      </c>
    </row>
    <row r="13" spans="1:6" ht="15">
      <c r="A13" s="74" t="s">
        <v>18</v>
      </c>
      <c r="B13" s="68" t="s">
        <v>68</v>
      </c>
      <c r="C13" s="74">
        <f>[16]Sheet2!D9</f>
        <v>44.21</v>
      </c>
      <c r="D13" s="74" t="s">
        <v>55</v>
      </c>
      <c r="E13" s="55">
        <v>417.3</v>
      </c>
      <c r="F13" s="71">
        <f t="shared" si="0"/>
        <v>18448.830000000002</v>
      </c>
    </row>
    <row r="14" spans="1:6" ht="15">
      <c r="A14" s="74" t="s">
        <v>19</v>
      </c>
      <c r="B14" s="68" t="s">
        <v>69</v>
      </c>
      <c r="C14" s="77">
        <f>[16]Sheet2!H9</f>
        <v>7.57</v>
      </c>
      <c r="D14" s="74" t="s">
        <v>55</v>
      </c>
      <c r="E14" s="83">
        <v>648.59</v>
      </c>
      <c r="F14" s="71">
        <f t="shared" si="0"/>
        <v>4909.83</v>
      </c>
    </row>
    <row r="15" spans="1:6" ht="15">
      <c r="A15" s="82" t="s">
        <v>20</v>
      </c>
      <c r="B15" s="68" t="s">
        <v>70</v>
      </c>
      <c r="C15" s="77">
        <f>[16]Sheet1!G35</f>
        <v>10.91</v>
      </c>
      <c r="D15" s="74" t="s">
        <v>55</v>
      </c>
      <c r="E15" s="55">
        <v>417.3</v>
      </c>
      <c r="F15" s="71">
        <f t="shared" si="0"/>
        <v>4552.74</v>
      </c>
    </row>
    <row r="16" spans="1:6" ht="15">
      <c r="A16" s="82" t="s">
        <v>21</v>
      </c>
      <c r="B16" s="84" t="s">
        <v>37</v>
      </c>
      <c r="C16" s="77">
        <f>[16]Sheet2!G9</f>
        <v>43.9</v>
      </c>
      <c r="D16" s="74" t="s">
        <v>55</v>
      </c>
      <c r="E16" s="55">
        <v>117.54</v>
      </c>
      <c r="F16" s="71">
        <f t="shared" si="0"/>
        <v>5160.01</v>
      </c>
    </row>
    <row r="17" spans="1:6" ht="12.75">
      <c r="A17" s="85"/>
      <c r="B17" s="80"/>
      <c r="C17" s="80"/>
      <c r="D17" s="80"/>
      <c r="E17" s="81" t="s">
        <v>10</v>
      </c>
      <c r="F17" s="86">
        <f>SUM(F5:F16)</f>
        <v>205303.10999999996</v>
      </c>
    </row>
    <row r="18" spans="1:6" ht="12.75">
      <c r="A18" s="85"/>
      <c r="B18" s="80"/>
      <c r="C18" s="351"/>
      <c r="D18" s="351"/>
      <c r="E18" s="344"/>
      <c r="F18" s="71">
        <f>ROUND(F17*18/100,2)</f>
        <v>36954.559999999998</v>
      </c>
    </row>
    <row r="19" spans="1:6" ht="12.75">
      <c r="A19" s="85"/>
      <c r="B19" s="80"/>
      <c r="C19" s="80"/>
      <c r="D19" s="343" t="s">
        <v>71</v>
      </c>
      <c r="E19" s="344"/>
      <c r="F19" s="71">
        <f>SUM(F17:F18)</f>
        <v>242257.66999999995</v>
      </c>
    </row>
    <row r="20" spans="1:6" ht="12.75">
      <c r="A20" s="85"/>
      <c r="B20" s="80"/>
      <c r="C20" s="351"/>
      <c r="D20" s="351"/>
      <c r="E20" s="344"/>
      <c r="F20" s="71">
        <f>ROUND(F19*1/100,2)</f>
        <v>2422.58</v>
      </c>
    </row>
    <row r="21" spans="1:6" ht="20.25" customHeight="1">
      <c r="A21" s="85"/>
      <c r="B21" s="80"/>
      <c r="C21" s="80"/>
      <c r="D21" s="343" t="s">
        <v>71</v>
      </c>
      <c r="E21" s="344"/>
      <c r="F21" s="71">
        <f>SUM(F19:F20)</f>
        <v>244680.24999999994</v>
      </c>
    </row>
    <row r="23" spans="1:6" ht="15">
      <c r="A23" s="87"/>
      <c r="C23" s="88"/>
    </row>
    <row r="24" spans="1:6" ht="15">
      <c r="A24" s="87"/>
    </row>
    <row r="25" spans="1:6" ht="21">
      <c r="A25" s="87"/>
      <c r="B25" s="89"/>
      <c r="C25" s="89"/>
      <c r="D25" s="89"/>
      <c r="E25" s="89"/>
      <c r="F25" s="87"/>
    </row>
    <row r="26" spans="1:6" ht="21">
      <c r="B26" s="89"/>
      <c r="C26" s="89"/>
      <c r="D26" s="89"/>
      <c r="E26" s="89"/>
      <c r="F26" s="87"/>
    </row>
    <row r="27" spans="1:6" ht="21">
      <c r="B27" s="89"/>
      <c r="C27" s="89"/>
      <c r="D27" s="89"/>
      <c r="E27" s="89"/>
      <c r="F27" s="87"/>
    </row>
  </sheetData>
  <mergeCells count="7">
    <mergeCell ref="D21:E21"/>
    <mergeCell ref="A1:F1"/>
    <mergeCell ref="B2:F2"/>
    <mergeCell ref="A3:F3"/>
    <mergeCell ref="C18:E18"/>
    <mergeCell ref="D19:E19"/>
    <mergeCell ref="C20:E20"/>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G20"/>
  <sheetViews>
    <sheetView workbookViewId="0">
      <selection activeCell="B3" sqref="B3:F3"/>
    </sheetView>
  </sheetViews>
  <sheetFormatPr defaultRowHeight="12.75"/>
  <cols>
    <col min="1" max="1" width="6.140625" style="108" customWidth="1"/>
    <col min="2" max="2" width="57.7109375" style="108" customWidth="1"/>
    <col min="3" max="3" width="8.5703125" style="108" bestFit="1" customWidth="1"/>
    <col min="4" max="4" width="5.28515625" style="108" customWidth="1"/>
    <col min="5" max="5" width="8.28515625" style="108" customWidth="1"/>
    <col min="6" max="6" width="13.140625" style="108" customWidth="1"/>
    <col min="7" max="16384" width="9.140625" style="108"/>
  </cols>
  <sheetData>
    <row r="1" spans="1:7" ht="22.5">
      <c r="B1" s="356" t="s">
        <v>0</v>
      </c>
      <c r="C1" s="356"/>
      <c r="D1" s="356"/>
      <c r="E1" s="356"/>
      <c r="F1" s="356"/>
    </row>
    <row r="2" spans="1:7" ht="22.5">
      <c r="B2" s="338" t="s">
        <v>48</v>
      </c>
      <c r="C2" s="338"/>
      <c r="D2" s="338"/>
      <c r="E2" s="338"/>
      <c r="F2" s="338"/>
    </row>
    <row r="3" spans="1:7" ht="34.5" customHeight="1">
      <c r="A3" s="80"/>
      <c r="B3" s="365" t="s">
        <v>132</v>
      </c>
      <c r="C3" s="365"/>
      <c r="D3" s="365"/>
      <c r="E3" s="365"/>
      <c r="F3" s="365"/>
      <c r="G3" s="109"/>
    </row>
    <row r="4" spans="1:7" ht="25.5">
      <c r="A4" s="67" t="s">
        <v>23</v>
      </c>
      <c r="B4" s="67" t="s">
        <v>24</v>
      </c>
      <c r="C4" s="67" t="s">
        <v>25</v>
      </c>
      <c r="D4" s="67" t="s">
        <v>5</v>
      </c>
      <c r="E4" s="67" t="s">
        <v>26</v>
      </c>
      <c r="F4" s="74" t="s">
        <v>27</v>
      </c>
      <c r="G4" s="107"/>
    </row>
    <row r="5" spans="1:7" ht="102">
      <c r="A5" s="67" t="s">
        <v>133</v>
      </c>
      <c r="B5" s="68" t="s">
        <v>54</v>
      </c>
      <c r="C5" s="69">
        <f>[17]Sheet1!G7</f>
        <v>7.56</v>
      </c>
      <c r="D5" s="74" t="s">
        <v>55</v>
      </c>
      <c r="E5" s="74">
        <v>151.82</v>
      </c>
      <c r="F5" s="71">
        <f>ROUND(C5*E5,0)</f>
        <v>1148</v>
      </c>
      <c r="G5" s="107"/>
    </row>
    <row r="6" spans="1:7" ht="89.25">
      <c r="A6" s="67" t="s">
        <v>56</v>
      </c>
      <c r="B6" s="72" t="s">
        <v>101</v>
      </c>
      <c r="C6" s="69">
        <f>[17]Sheet1!G11</f>
        <v>2.84</v>
      </c>
      <c r="D6" s="74" t="s">
        <v>55</v>
      </c>
      <c r="E6" s="73">
        <v>347.85</v>
      </c>
      <c r="F6" s="71">
        <f>ROUND(C6*E6,0)</f>
        <v>988</v>
      </c>
      <c r="G6" s="107"/>
    </row>
    <row r="7" spans="1:7" ht="81">
      <c r="A7" s="92" t="s">
        <v>134</v>
      </c>
      <c r="B7" s="93" t="s">
        <v>135</v>
      </c>
      <c r="C7" s="71">
        <f>[17]Sheet1!G15</f>
        <v>37.32</v>
      </c>
      <c r="D7" s="74" t="s">
        <v>85</v>
      </c>
      <c r="E7" s="75">
        <v>798</v>
      </c>
      <c r="F7" s="71">
        <f>ROUND(C7*E7,0)</f>
        <v>29781</v>
      </c>
      <c r="G7" s="107"/>
    </row>
    <row r="8" spans="1:7" ht="63.75">
      <c r="A8" s="67" t="s">
        <v>136</v>
      </c>
      <c r="B8" s="68" t="s">
        <v>137</v>
      </c>
      <c r="C8" s="71">
        <f>[17]Sheet1!G21</f>
        <v>43.949999999999996</v>
      </c>
      <c r="D8" s="74" t="s">
        <v>55</v>
      </c>
      <c r="E8" s="77">
        <v>4961.7299999999996</v>
      </c>
      <c r="F8" s="71">
        <f>ROUND(C8*E8,0)</f>
        <v>218068</v>
      </c>
      <c r="G8" s="107"/>
    </row>
    <row r="9" spans="1:7" ht="38.25">
      <c r="A9" s="67" t="s">
        <v>129</v>
      </c>
      <c r="B9" s="68" t="s">
        <v>138</v>
      </c>
      <c r="C9" s="71">
        <f>[17]Sheet1!G26</f>
        <v>26.34</v>
      </c>
      <c r="D9" s="74" t="s">
        <v>43</v>
      </c>
      <c r="E9" s="77">
        <v>194.5</v>
      </c>
      <c r="F9" s="71">
        <f>ROUND(C9*E9,0)</f>
        <v>5123</v>
      </c>
      <c r="G9" s="107"/>
    </row>
    <row r="10" spans="1:7" ht="15.75">
      <c r="A10" s="67">
        <v>6</v>
      </c>
      <c r="B10" s="131" t="s">
        <v>66</v>
      </c>
      <c r="C10" s="84"/>
      <c r="D10" s="84"/>
      <c r="E10" s="84"/>
      <c r="F10" s="138"/>
      <c r="G10" s="107"/>
    </row>
    <row r="11" spans="1:7" ht="16.5">
      <c r="A11" s="139" t="s">
        <v>17</v>
      </c>
      <c r="B11" s="94" t="s">
        <v>93</v>
      </c>
      <c r="C11" s="84">
        <f>[17]Sheet2!F6</f>
        <v>18.860000000000003</v>
      </c>
      <c r="D11" s="140" t="s">
        <v>94</v>
      </c>
      <c r="E11" s="141">
        <v>819.06</v>
      </c>
      <c r="F11" s="132">
        <f>ROUND(C11*E11,0)</f>
        <v>15447</v>
      </c>
      <c r="G11" s="107"/>
    </row>
    <row r="12" spans="1:7" ht="16.5">
      <c r="A12" s="102" t="s">
        <v>18</v>
      </c>
      <c r="B12" s="94" t="s">
        <v>70</v>
      </c>
      <c r="C12" s="84">
        <f>[17]Sheet2!E6</f>
        <v>2.84</v>
      </c>
      <c r="D12" s="140" t="s">
        <v>94</v>
      </c>
      <c r="E12" s="141">
        <v>417.3</v>
      </c>
      <c r="F12" s="132">
        <f>E12*C12</f>
        <v>1185.1320000000001</v>
      </c>
      <c r="G12" s="107"/>
    </row>
    <row r="13" spans="1:7" ht="16.5">
      <c r="A13" s="102" t="s">
        <v>19</v>
      </c>
      <c r="B13" s="94" t="s">
        <v>68</v>
      </c>
      <c r="C13" s="84">
        <f>[17]Sheet2!G6</f>
        <v>37.720000000000006</v>
      </c>
      <c r="D13" s="140" t="s">
        <v>94</v>
      </c>
      <c r="E13" s="141">
        <v>417.3</v>
      </c>
      <c r="F13" s="132">
        <f>ROUNDUP(C13*E13,0)</f>
        <v>15741</v>
      </c>
      <c r="G13" s="107"/>
    </row>
    <row r="14" spans="1:7" ht="16.5">
      <c r="A14" s="102" t="s">
        <v>20</v>
      </c>
      <c r="B14" s="94" t="s">
        <v>37</v>
      </c>
      <c r="C14" s="84">
        <f>[17]Sheet2!H6</f>
        <v>7.56</v>
      </c>
      <c r="D14" s="140" t="s">
        <v>94</v>
      </c>
      <c r="E14" s="141">
        <v>117.54</v>
      </c>
      <c r="F14" s="132">
        <f>ROUNDUP(C14*E14,0)</f>
        <v>889</v>
      </c>
    </row>
    <row r="15" spans="1:7">
      <c r="A15" s="80"/>
      <c r="B15" s="359" t="s">
        <v>10</v>
      </c>
      <c r="C15" s="360"/>
      <c r="D15" s="360"/>
      <c r="E15" s="361"/>
      <c r="F15" s="132">
        <f>SUM(F5:F14)</f>
        <v>288370.13199999998</v>
      </c>
    </row>
    <row r="16" spans="1:7">
      <c r="A16" s="80"/>
      <c r="B16" s="352" t="s">
        <v>139</v>
      </c>
      <c r="C16" s="353"/>
      <c r="D16" s="353"/>
      <c r="E16" s="354"/>
      <c r="F16" s="132">
        <f>F15*18%</f>
        <v>51906.623759999995</v>
      </c>
    </row>
    <row r="17" spans="1:6">
      <c r="A17" s="80"/>
      <c r="B17" s="359" t="s">
        <v>124</v>
      </c>
      <c r="C17" s="360"/>
      <c r="D17" s="360"/>
      <c r="E17" s="361"/>
      <c r="F17" s="132">
        <f>SUM(F15:F16)</f>
        <v>340276.75575999997</v>
      </c>
    </row>
    <row r="18" spans="1:6">
      <c r="A18" s="80"/>
      <c r="B18" s="352" t="s">
        <v>125</v>
      </c>
      <c r="C18" s="353"/>
      <c r="D18" s="353"/>
      <c r="E18" s="354"/>
      <c r="F18" s="132">
        <f>ROUND(F17*1/100,0)</f>
        <v>3403</v>
      </c>
    </row>
    <row r="19" spans="1:6">
      <c r="A19" s="80"/>
      <c r="B19" s="359" t="s">
        <v>124</v>
      </c>
      <c r="C19" s="360"/>
      <c r="D19" s="360"/>
      <c r="E19" s="361"/>
      <c r="F19" s="132">
        <f>SUM(F17:F18)</f>
        <v>343679.75575999997</v>
      </c>
    </row>
    <row r="20" spans="1:6" ht="26.25">
      <c r="A20" s="355"/>
      <c r="B20" s="355"/>
      <c r="C20" s="355"/>
      <c r="D20" s="355"/>
      <c r="E20" s="355"/>
      <c r="F20" s="355"/>
    </row>
  </sheetData>
  <mergeCells count="9">
    <mergeCell ref="B18:E18"/>
    <mergeCell ref="B19:E19"/>
    <mergeCell ref="A20:F20"/>
    <mergeCell ref="B1:F1"/>
    <mergeCell ref="B2:F2"/>
    <mergeCell ref="B3:F3"/>
    <mergeCell ref="B15:E15"/>
    <mergeCell ref="B16:E16"/>
    <mergeCell ref="B17:E17"/>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F30"/>
  <sheetViews>
    <sheetView workbookViewId="0">
      <selection activeCell="B4" sqref="B4"/>
    </sheetView>
  </sheetViews>
  <sheetFormatPr defaultRowHeight="40.5" customHeight="1"/>
  <cols>
    <col min="1" max="1" width="6.140625" customWidth="1"/>
    <col min="2" max="2" width="59.28515625" customWidth="1"/>
    <col min="3" max="3" width="12.5703125" bestFit="1" customWidth="1"/>
    <col min="4" max="4" width="5.28515625" customWidth="1"/>
    <col min="5" max="5" width="12" bestFit="1" customWidth="1"/>
    <col min="6" max="6" width="12.42578125" customWidth="1"/>
  </cols>
  <sheetData>
    <row r="1" spans="1:6" ht="23.25" customHeight="1">
      <c r="A1" s="90"/>
      <c r="B1" s="337" t="s">
        <v>0</v>
      </c>
      <c r="C1" s="337"/>
      <c r="D1" s="337"/>
      <c r="E1" s="337"/>
      <c r="F1" s="337"/>
    </row>
    <row r="2" spans="1:6" ht="17.25" customHeight="1">
      <c r="A2" s="90"/>
      <c r="B2" s="366" t="s">
        <v>48</v>
      </c>
      <c r="C2" s="366"/>
      <c r="D2" s="366"/>
      <c r="E2" s="366"/>
      <c r="F2" s="366"/>
    </row>
    <row r="3" spans="1:6" ht="27.75" customHeight="1">
      <c r="A3" s="90"/>
      <c r="B3" s="339" t="s">
        <v>140</v>
      </c>
      <c r="C3" s="339"/>
      <c r="D3" s="339"/>
      <c r="E3" s="339"/>
      <c r="F3" s="339"/>
    </row>
    <row r="4" spans="1:6" ht="40.5" customHeight="1">
      <c r="A4" s="73" t="s">
        <v>23</v>
      </c>
      <c r="B4" s="73" t="s">
        <v>141</v>
      </c>
      <c r="C4" s="73" t="s">
        <v>25</v>
      </c>
      <c r="D4" s="73" t="s">
        <v>5</v>
      </c>
      <c r="E4" s="73" t="s">
        <v>26</v>
      </c>
      <c r="F4" s="73" t="s">
        <v>27</v>
      </c>
    </row>
    <row r="5" spans="1:6" ht="25.5">
      <c r="A5" s="67" t="s">
        <v>142</v>
      </c>
      <c r="B5" s="67" t="s">
        <v>143</v>
      </c>
      <c r="C5" s="142">
        <v>2.97</v>
      </c>
      <c r="D5" s="67" t="s">
        <v>28</v>
      </c>
      <c r="E5" s="143">
        <v>541.66999999999996</v>
      </c>
      <c r="F5" s="142">
        <f>ROUND(C5*E5,2)</f>
        <v>1608.76</v>
      </c>
    </row>
    <row r="6" spans="1:6" ht="94.5">
      <c r="A6" s="92" t="s">
        <v>76</v>
      </c>
      <c r="B6" s="93" t="s">
        <v>77</v>
      </c>
      <c r="C6" s="77">
        <v>40.36</v>
      </c>
      <c r="D6" s="67" t="s">
        <v>28</v>
      </c>
      <c r="E6" s="144">
        <v>167.33</v>
      </c>
      <c r="F6" s="142">
        <f t="shared" ref="F6:F20" si="0">ROUND(C6*E6,2)</f>
        <v>6753.44</v>
      </c>
    </row>
    <row r="7" spans="1:6" ht="89.25">
      <c r="A7" s="67" t="s">
        <v>144</v>
      </c>
      <c r="B7" s="72" t="s">
        <v>57</v>
      </c>
      <c r="C7" s="67">
        <v>3.19</v>
      </c>
      <c r="D7" s="67" t="s">
        <v>28</v>
      </c>
      <c r="E7" s="67">
        <v>347.85</v>
      </c>
      <c r="F7" s="142">
        <f t="shared" si="0"/>
        <v>1109.6400000000001</v>
      </c>
    </row>
    <row r="8" spans="1:6" ht="51">
      <c r="A8" s="67" t="s">
        <v>78</v>
      </c>
      <c r="B8" s="94" t="s">
        <v>59</v>
      </c>
      <c r="C8" s="143">
        <v>5.32</v>
      </c>
      <c r="D8" s="67" t="s">
        <v>28</v>
      </c>
      <c r="E8" s="67">
        <v>1756.4</v>
      </c>
      <c r="F8" s="142">
        <f t="shared" si="0"/>
        <v>9344.0499999999993</v>
      </c>
    </row>
    <row r="9" spans="1:6" ht="38.25">
      <c r="A9" s="67" t="s">
        <v>79</v>
      </c>
      <c r="B9" s="95" t="s">
        <v>80</v>
      </c>
      <c r="C9" s="74">
        <v>4.6100000000000003</v>
      </c>
      <c r="D9" s="67" t="s">
        <v>28</v>
      </c>
      <c r="E9" s="67">
        <v>4598.2299999999996</v>
      </c>
      <c r="F9" s="142">
        <f t="shared" si="0"/>
        <v>21197.84</v>
      </c>
    </row>
    <row r="10" spans="1:6" ht="38.25">
      <c r="A10" s="96" t="s">
        <v>81</v>
      </c>
      <c r="B10" s="95" t="s">
        <v>82</v>
      </c>
      <c r="C10" s="97">
        <v>12.74</v>
      </c>
      <c r="D10" s="67" t="s">
        <v>28</v>
      </c>
      <c r="E10" s="101">
        <v>2987.47</v>
      </c>
      <c r="F10" s="142">
        <f t="shared" si="0"/>
        <v>38060.370000000003</v>
      </c>
    </row>
    <row r="11" spans="1:6" ht="51">
      <c r="A11" s="145" t="s">
        <v>83</v>
      </c>
      <c r="B11" s="99" t="s">
        <v>84</v>
      </c>
      <c r="C11" s="143">
        <v>81.319999999999993</v>
      </c>
      <c r="D11" s="67" t="s">
        <v>145</v>
      </c>
      <c r="E11" s="146">
        <v>313.3</v>
      </c>
      <c r="F11" s="142">
        <f t="shared" si="0"/>
        <v>25477.56</v>
      </c>
    </row>
    <row r="12" spans="1:6" ht="76.5">
      <c r="A12" s="102" t="s">
        <v>86</v>
      </c>
      <c r="B12" s="99" t="s">
        <v>87</v>
      </c>
      <c r="C12" s="143">
        <v>4.25</v>
      </c>
      <c r="D12" s="67" t="s">
        <v>28</v>
      </c>
      <c r="E12" s="147">
        <v>6308.87</v>
      </c>
      <c r="F12" s="142">
        <f t="shared" si="0"/>
        <v>26812.7</v>
      </c>
    </row>
    <row r="13" spans="1:6" ht="51">
      <c r="A13" s="102" t="s">
        <v>88</v>
      </c>
      <c r="B13" s="99" t="s">
        <v>89</v>
      </c>
      <c r="C13" s="115">
        <v>0.375</v>
      </c>
      <c r="D13" s="115" t="s">
        <v>90</v>
      </c>
      <c r="E13" s="67">
        <v>82096.539999999994</v>
      </c>
      <c r="F13" s="142">
        <f t="shared" si="0"/>
        <v>30786.2</v>
      </c>
    </row>
    <row r="14" spans="1:6" ht="38.25">
      <c r="A14" s="67" t="s">
        <v>91</v>
      </c>
      <c r="B14" s="68" t="s">
        <v>146</v>
      </c>
      <c r="C14" s="77">
        <v>9.3000000000000007</v>
      </c>
      <c r="D14" s="74" t="s">
        <v>43</v>
      </c>
      <c r="E14" s="77">
        <v>194.5</v>
      </c>
      <c r="F14" s="142">
        <f t="shared" si="0"/>
        <v>1808.85</v>
      </c>
    </row>
    <row r="15" spans="1:6" ht="15">
      <c r="A15" s="102">
        <v>11</v>
      </c>
      <c r="B15" s="100" t="s">
        <v>66</v>
      </c>
      <c r="C15" s="67"/>
      <c r="D15" s="67"/>
      <c r="E15" s="67"/>
      <c r="F15" s="142"/>
    </row>
    <row r="16" spans="1:6" ht="15.75">
      <c r="A16" s="139" t="s">
        <v>17</v>
      </c>
      <c r="B16" s="94" t="s">
        <v>34</v>
      </c>
      <c r="C16" s="67">
        <v>11.51</v>
      </c>
      <c r="D16" s="101" t="s">
        <v>94</v>
      </c>
      <c r="E16" s="148">
        <v>848.82</v>
      </c>
      <c r="F16" s="142">
        <f t="shared" si="0"/>
        <v>9769.92</v>
      </c>
    </row>
    <row r="17" spans="1:6" ht="15.75">
      <c r="A17" s="102" t="s">
        <v>18</v>
      </c>
      <c r="B17" s="94" t="s">
        <v>147</v>
      </c>
      <c r="C17" s="67">
        <v>3.19</v>
      </c>
      <c r="D17" s="101" t="s">
        <v>94</v>
      </c>
      <c r="E17" s="148">
        <v>447.06</v>
      </c>
      <c r="F17" s="142">
        <f t="shared" si="0"/>
        <v>1426.12</v>
      </c>
    </row>
    <row r="18" spans="1:6" ht="15.75">
      <c r="A18" s="102" t="s">
        <v>19</v>
      </c>
      <c r="B18" s="94" t="s">
        <v>148</v>
      </c>
      <c r="C18" s="149">
        <v>18.100000000000001</v>
      </c>
      <c r="D18" s="101" t="s">
        <v>94</v>
      </c>
      <c r="E18" s="148">
        <v>679.66</v>
      </c>
      <c r="F18" s="142">
        <f t="shared" si="0"/>
        <v>12301.85</v>
      </c>
    </row>
    <row r="19" spans="1:6" ht="15.75">
      <c r="A19" s="102" t="s">
        <v>20</v>
      </c>
      <c r="B19" s="94" t="s">
        <v>149</v>
      </c>
      <c r="C19" s="67">
        <v>7.82</v>
      </c>
      <c r="D19" s="101" t="s">
        <v>94</v>
      </c>
      <c r="E19" s="148">
        <v>447.06</v>
      </c>
      <c r="F19" s="142">
        <f t="shared" si="0"/>
        <v>3496.01</v>
      </c>
    </row>
    <row r="20" spans="1:6" ht="15.75">
      <c r="A20" s="102" t="s">
        <v>21</v>
      </c>
      <c r="B20" s="94" t="s">
        <v>37</v>
      </c>
      <c r="C20" s="143">
        <v>40.36</v>
      </c>
      <c r="D20" s="101" t="s">
        <v>94</v>
      </c>
      <c r="E20" s="148">
        <v>117.54</v>
      </c>
      <c r="F20" s="142">
        <f t="shared" si="0"/>
        <v>4743.91</v>
      </c>
    </row>
    <row r="21" spans="1:6" ht="15">
      <c r="A21" s="103"/>
      <c r="B21" s="103"/>
      <c r="C21" s="103"/>
      <c r="D21" s="103"/>
      <c r="E21" s="104" t="s">
        <v>10</v>
      </c>
      <c r="F21" s="83">
        <f>SUM(F5:F20)</f>
        <v>194697.22000000003</v>
      </c>
    </row>
    <row r="22" spans="1:6" ht="15">
      <c r="A22" s="340" t="s">
        <v>96</v>
      </c>
      <c r="B22" s="341"/>
      <c r="C22" s="341"/>
      <c r="D22" s="341"/>
      <c r="E22" s="342"/>
      <c r="F22" s="83">
        <f>F21*18%</f>
        <v>35045.499600000003</v>
      </c>
    </row>
    <row r="23" spans="1:6" ht="15">
      <c r="A23" s="334" t="s">
        <v>97</v>
      </c>
      <c r="B23" s="335"/>
      <c r="C23" s="335"/>
      <c r="D23" s="335"/>
      <c r="E23" s="336"/>
      <c r="F23" s="83">
        <f>SUM(F21:F22)</f>
        <v>229742.71960000004</v>
      </c>
    </row>
    <row r="24" spans="1:6" ht="15">
      <c r="A24" s="340" t="s">
        <v>98</v>
      </c>
      <c r="B24" s="341"/>
      <c r="C24" s="341"/>
      <c r="D24" s="341"/>
      <c r="E24" s="342"/>
      <c r="F24" s="105">
        <f>F23*1%</f>
        <v>2297.4271960000005</v>
      </c>
    </row>
    <row r="25" spans="1:6" ht="15">
      <c r="A25" s="334" t="s">
        <v>97</v>
      </c>
      <c r="B25" s="335"/>
      <c r="C25" s="335"/>
      <c r="D25" s="335"/>
      <c r="E25" s="336"/>
      <c r="F25" s="106">
        <f>SUM(F23:F24)</f>
        <v>232040.14679600004</v>
      </c>
    </row>
    <row r="26" spans="1:6" ht="15"/>
    <row r="27" spans="1:6" ht="15"/>
    <row r="28" spans="1:6" ht="15"/>
    <row r="29" spans="1:6" ht="15"/>
    <row r="30" spans="1:6" ht="15"/>
  </sheetData>
  <mergeCells count="7">
    <mergeCell ref="A25:E25"/>
    <mergeCell ref="B1:F1"/>
    <mergeCell ref="B2:F2"/>
    <mergeCell ref="B3:F3"/>
    <mergeCell ref="A22:E22"/>
    <mergeCell ref="A23:E23"/>
    <mergeCell ref="A24:E24"/>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F23"/>
  <sheetViews>
    <sheetView workbookViewId="0">
      <selection sqref="A1:XFD1048576"/>
    </sheetView>
  </sheetViews>
  <sheetFormatPr defaultRowHeight="15"/>
  <cols>
    <col min="1" max="1" width="9.140625" style="60"/>
    <col min="2" max="2" width="44.5703125" style="61" customWidth="1"/>
    <col min="3" max="3" width="9.140625" style="44"/>
    <col min="4" max="4" width="9.140625" style="62"/>
    <col min="5" max="5" width="9.140625" style="44"/>
    <col min="6" max="6" width="16.42578125" style="64" customWidth="1"/>
    <col min="7" max="16384" width="9.140625" style="44"/>
  </cols>
  <sheetData>
    <row r="1" spans="1:6" ht="18.75">
      <c r="A1" s="308" t="s">
        <v>0</v>
      </c>
      <c r="B1" s="308"/>
      <c r="C1" s="308"/>
      <c r="D1" s="308"/>
      <c r="E1" s="308"/>
      <c r="F1" s="308"/>
    </row>
    <row r="2" spans="1:6" ht="18.75">
      <c r="A2" s="308" t="s">
        <v>22</v>
      </c>
      <c r="B2" s="308"/>
      <c r="C2" s="308"/>
      <c r="D2" s="308"/>
      <c r="E2" s="308"/>
      <c r="F2" s="308"/>
    </row>
    <row r="3" spans="1:6" ht="57.75" customHeight="1">
      <c r="A3" s="309" t="s">
        <v>171</v>
      </c>
      <c r="B3" s="309"/>
      <c r="C3" s="309"/>
      <c r="D3" s="309"/>
      <c r="E3" s="309"/>
      <c r="F3" s="309"/>
    </row>
    <row r="4" spans="1:6">
      <c r="A4" s="45" t="s">
        <v>23</v>
      </c>
      <c r="B4" s="45" t="s">
        <v>24</v>
      </c>
      <c r="C4" s="45" t="s">
        <v>25</v>
      </c>
      <c r="D4" s="45" t="s">
        <v>5</v>
      </c>
      <c r="E4" s="45" t="s">
        <v>26</v>
      </c>
      <c r="F4" s="45" t="s">
        <v>27</v>
      </c>
    </row>
    <row r="5" spans="1:6" ht="165">
      <c r="A5" s="48" t="s">
        <v>170</v>
      </c>
      <c r="B5" s="48" t="s">
        <v>150</v>
      </c>
      <c r="C5" s="48">
        <v>69.58</v>
      </c>
      <c r="D5" s="48" t="s">
        <v>8</v>
      </c>
      <c r="E5" s="48">
        <v>167.33</v>
      </c>
      <c r="F5" s="48">
        <f t="shared" ref="F5:F12" si="0">C5*E5</f>
        <v>11642.821400000001</v>
      </c>
    </row>
    <row r="6" spans="1:6" ht="120">
      <c r="A6" s="48" t="s">
        <v>151</v>
      </c>
      <c r="B6" s="48" t="s">
        <v>152</v>
      </c>
      <c r="C6" s="48">
        <v>5.46</v>
      </c>
      <c r="D6" s="48" t="s">
        <v>8</v>
      </c>
      <c r="E6" s="48">
        <v>589.51</v>
      </c>
      <c r="F6" s="48">
        <f t="shared" si="0"/>
        <v>3218.7246</v>
      </c>
    </row>
    <row r="7" spans="1:6" ht="90">
      <c r="A7" s="48" t="s">
        <v>153</v>
      </c>
      <c r="B7" s="48" t="s">
        <v>154</v>
      </c>
      <c r="C7" s="48">
        <v>9.15</v>
      </c>
      <c r="D7" s="48" t="s">
        <v>8</v>
      </c>
      <c r="E7" s="48">
        <v>1756.4</v>
      </c>
      <c r="F7" s="48">
        <f t="shared" si="0"/>
        <v>16071.060000000001</v>
      </c>
    </row>
    <row r="8" spans="1:6" ht="135">
      <c r="A8" s="48" t="s">
        <v>155</v>
      </c>
      <c r="B8" s="48" t="s">
        <v>156</v>
      </c>
      <c r="C8" s="48">
        <v>28.53</v>
      </c>
      <c r="D8" s="48" t="s">
        <v>28</v>
      </c>
      <c r="E8" s="48">
        <v>6082.45</v>
      </c>
      <c r="F8" s="48">
        <f t="shared" si="0"/>
        <v>173532.2985</v>
      </c>
    </row>
    <row r="9" spans="1:6" ht="120">
      <c r="A9" s="48" t="s">
        <v>157</v>
      </c>
      <c r="B9" s="48" t="s">
        <v>105</v>
      </c>
      <c r="C9" s="48">
        <v>10.97</v>
      </c>
      <c r="D9" s="48" t="s">
        <v>55</v>
      </c>
      <c r="E9" s="48">
        <v>6308.87</v>
      </c>
      <c r="F9" s="48">
        <f t="shared" si="0"/>
        <v>69208.303899999999</v>
      </c>
    </row>
    <row r="10" spans="1:6" ht="120">
      <c r="A10" s="48" t="s">
        <v>158</v>
      </c>
      <c r="B10" s="48" t="s">
        <v>159</v>
      </c>
      <c r="C10" s="48">
        <v>1.4</v>
      </c>
      <c r="D10" s="48" t="s">
        <v>160</v>
      </c>
      <c r="E10" s="48">
        <v>83314.02</v>
      </c>
      <c r="F10" s="48">
        <f t="shared" si="0"/>
        <v>116639.628</v>
      </c>
    </row>
    <row r="11" spans="1:6">
      <c r="A11" s="48"/>
      <c r="B11" s="48" t="s">
        <v>161</v>
      </c>
      <c r="C11" s="48">
        <v>2.09</v>
      </c>
      <c r="D11" s="48" t="s">
        <v>160</v>
      </c>
      <c r="E11" s="48">
        <v>82096.539999999994</v>
      </c>
      <c r="F11" s="48">
        <f t="shared" si="0"/>
        <v>171581.76859999998</v>
      </c>
    </row>
    <row r="12" spans="1:6" ht="60">
      <c r="A12" s="48" t="s">
        <v>162</v>
      </c>
      <c r="B12" s="48" t="s">
        <v>163</v>
      </c>
      <c r="C12" s="48">
        <v>186.06</v>
      </c>
      <c r="D12" s="48" t="s">
        <v>85</v>
      </c>
      <c r="E12" s="48">
        <v>194.5</v>
      </c>
      <c r="F12" s="48">
        <f t="shared" si="0"/>
        <v>36188.67</v>
      </c>
    </row>
    <row r="13" spans="1:6">
      <c r="A13" s="48">
        <v>8</v>
      </c>
      <c r="B13" s="48" t="s">
        <v>16</v>
      </c>
      <c r="C13" s="48"/>
      <c r="D13" s="48"/>
      <c r="E13" s="48"/>
      <c r="F13" s="48"/>
    </row>
    <row r="14" spans="1:6">
      <c r="A14" s="48"/>
      <c r="B14" s="48" t="s">
        <v>164</v>
      </c>
      <c r="C14" s="48">
        <v>16.989999999999998</v>
      </c>
      <c r="D14" s="48" t="s">
        <v>8</v>
      </c>
      <c r="E14" s="48">
        <v>744.66</v>
      </c>
      <c r="F14" s="48">
        <f t="shared" ref="F14:F18" si="1">PRODUCT(C14:E14)</f>
        <v>12651.773399999998</v>
      </c>
    </row>
    <row r="15" spans="1:6">
      <c r="A15" s="48"/>
      <c r="B15" s="48" t="s">
        <v>165</v>
      </c>
      <c r="C15" s="48">
        <v>5.49</v>
      </c>
      <c r="D15" s="48" t="s">
        <v>8</v>
      </c>
      <c r="E15" s="48">
        <v>387.54</v>
      </c>
      <c r="F15" s="48">
        <f t="shared" si="1"/>
        <v>2127.5946000000004</v>
      </c>
    </row>
    <row r="16" spans="1:6">
      <c r="A16" s="48"/>
      <c r="B16" s="48" t="s">
        <v>166</v>
      </c>
      <c r="C16" s="48">
        <v>33.979999999999997</v>
      </c>
      <c r="D16" s="48" t="s">
        <v>8</v>
      </c>
      <c r="E16" s="48">
        <v>342.9</v>
      </c>
      <c r="F16" s="48">
        <f t="shared" si="1"/>
        <v>11651.741999999998</v>
      </c>
    </row>
    <row r="17" spans="1:6">
      <c r="A17" s="48"/>
      <c r="B17" s="48" t="s">
        <v>167</v>
      </c>
      <c r="C17" s="48">
        <v>9.15</v>
      </c>
      <c r="D17" s="48" t="s">
        <v>8</v>
      </c>
      <c r="E17" s="48">
        <v>570.94000000000005</v>
      </c>
      <c r="F17" s="48">
        <f t="shared" si="1"/>
        <v>5224.1010000000006</v>
      </c>
    </row>
    <row r="18" spans="1:6">
      <c r="A18" s="48"/>
      <c r="B18" s="48" t="s">
        <v>168</v>
      </c>
      <c r="C18" s="48">
        <v>69.58</v>
      </c>
      <c r="D18" s="48" t="s">
        <v>8</v>
      </c>
      <c r="E18" s="48">
        <v>117.54</v>
      </c>
      <c r="F18" s="48">
        <f t="shared" si="1"/>
        <v>8178.4332000000004</v>
      </c>
    </row>
    <row r="19" spans="1:6">
      <c r="A19" s="53"/>
      <c r="B19" s="54"/>
      <c r="C19" s="55"/>
      <c r="D19" s="50"/>
      <c r="E19" s="55" t="s">
        <v>38</v>
      </c>
      <c r="F19" s="49">
        <f>SUM(F5:F18)</f>
        <v>637916.91919999989</v>
      </c>
    </row>
    <row r="20" spans="1:6" ht="30">
      <c r="A20" s="53"/>
      <c r="B20" s="54"/>
      <c r="C20" s="55"/>
      <c r="D20" s="50"/>
      <c r="E20" s="48" t="s">
        <v>46</v>
      </c>
      <c r="F20" s="48">
        <f>F19*18/100</f>
        <v>114825.04545599996</v>
      </c>
    </row>
    <row r="21" spans="1:6">
      <c r="A21" s="53"/>
      <c r="B21" s="54"/>
      <c r="C21" s="55"/>
      <c r="D21" s="50"/>
      <c r="E21" s="48"/>
      <c r="F21" s="48">
        <f>F20+F19</f>
        <v>752741.96465599979</v>
      </c>
    </row>
    <row r="22" spans="1:6" ht="30">
      <c r="A22" s="53"/>
      <c r="B22" s="54"/>
      <c r="C22" s="55"/>
      <c r="D22" s="50"/>
      <c r="E22" s="48" t="s">
        <v>47</v>
      </c>
      <c r="F22" s="48">
        <f>F21*1/100</f>
        <v>7527.419646559998</v>
      </c>
    </row>
    <row r="23" spans="1:6">
      <c r="A23" s="53"/>
      <c r="B23" s="54"/>
      <c r="C23" s="55"/>
      <c r="D23" s="50"/>
      <c r="E23" s="48" t="s">
        <v>169</v>
      </c>
      <c r="F23" s="48">
        <f>F22+F21</f>
        <v>760269.38430255977</v>
      </c>
    </row>
  </sheetData>
  <mergeCells count="3">
    <mergeCell ref="A1:F1"/>
    <mergeCell ref="A2:F2"/>
    <mergeCell ref="A3:F3"/>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F24"/>
  <sheetViews>
    <sheetView topLeftCell="A13" workbookViewId="0">
      <selection activeCell="A13" sqref="A1:XFD1048576"/>
    </sheetView>
  </sheetViews>
  <sheetFormatPr defaultRowHeight="15"/>
  <cols>
    <col min="1" max="1" width="9.140625" style="60"/>
    <col min="2" max="2" width="44.5703125" style="61" customWidth="1"/>
    <col min="3" max="3" width="9.140625" style="44"/>
    <col min="4" max="4" width="9.140625" style="62"/>
    <col min="5" max="5" width="9.140625" style="44"/>
    <col min="6" max="6" width="16.42578125" style="64" customWidth="1"/>
    <col min="7" max="16384" width="9.140625" style="44"/>
  </cols>
  <sheetData>
    <row r="1" spans="1:6" ht="18.75">
      <c r="A1" s="308" t="s">
        <v>0</v>
      </c>
      <c r="B1" s="308"/>
      <c r="C1" s="308"/>
      <c r="D1" s="308"/>
      <c r="E1" s="308"/>
      <c r="F1" s="308"/>
    </row>
    <row r="2" spans="1:6" ht="18.75">
      <c r="A2" s="308" t="s">
        <v>22</v>
      </c>
      <c r="B2" s="308"/>
      <c r="C2" s="308"/>
      <c r="D2" s="308"/>
      <c r="E2" s="308"/>
      <c r="F2" s="308"/>
    </row>
    <row r="3" spans="1:6" ht="57.75" customHeight="1">
      <c r="A3" s="309" t="s">
        <v>180</v>
      </c>
      <c r="B3" s="309"/>
      <c r="C3" s="309"/>
      <c r="D3" s="309"/>
      <c r="E3" s="309"/>
      <c r="F3" s="309"/>
    </row>
    <row r="4" spans="1:6">
      <c r="A4" s="45" t="s">
        <v>23</v>
      </c>
      <c r="B4" s="45" t="s">
        <v>24</v>
      </c>
      <c r="C4" s="45" t="s">
        <v>25</v>
      </c>
      <c r="D4" s="45" t="s">
        <v>5</v>
      </c>
      <c r="E4" s="45" t="s">
        <v>26</v>
      </c>
      <c r="F4" s="45" t="s">
        <v>27</v>
      </c>
    </row>
    <row r="5" spans="1:6">
      <c r="A5" s="48">
        <v>1</v>
      </c>
      <c r="B5" s="48" t="s">
        <v>172</v>
      </c>
      <c r="C5" s="48">
        <v>4.96</v>
      </c>
      <c r="D5" s="48" t="s">
        <v>28</v>
      </c>
      <c r="E5" s="48">
        <v>955.89</v>
      </c>
      <c r="F5" s="48">
        <v>4737.49</v>
      </c>
    </row>
    <row r="6" spans="1:6" ht="165">
      <c r="A6" s="48" t="s">
        <v>173</v>
      </c>
      <c r="B6" s="48" t="s">
        <v>150</v>
      </c>
      <c r="C6" s="48">
        <v>66.16</v>
      </c>
      <c r="D6" s="48" t="s">
        <v>8</v>
      </c>
      <c r="E6" s="48">
        <v>167.33</v>
      </c>
      <c r="F6" s="48">
        <f t="shared" ref="F6:F13" si="0">C6*E6</f>
        <v>11070.552799999999</v>
      </c>
    </row>
    <row r="7" spans="1:6" ht="120">
      <c r="A7" s="48" t="s">
        <v>174</v>
      </c>
      <c r="B7" s="48" t="s">
        <v>152</v>
      </c>
      <c r="C7" s="48">
        <v>6.2</v>
      </c>
      <c r="D7" s="48" t="s">
        <v>8</v>
      </c>
      <c r="E7" s="48">
        <v>589.51</v>
      </c>
      <c r="F7" s="48">
        <v>3652.09</v>
      </c>
    </row>
    <row r="8" spans="1:6" ht="90">
      <c r="A8" s="48" t="s">
        <v>175</v>
      </c>
      <c r="B8" s="48" t="s">
        <v>154</v>
      </c>
      <c r="C8" s="48">
        <v>10.33</v>
      </c>
      <c r="D8" s="48" t="s">
        <v>8</v>
      </c>
      <c r="E8" s="48">
        <v>1756.4</v>
      </c>
      <c r="F8" s="48">
        <f t="shared" si="0"/>
        <v>18143.612000000001</v>
      </c>
    </row>
    <row r="9" spans="1:6" ht="135">
      <c r="A9" s="48" t="s">
        <v>176</v>
      </c>
      <c r="B9" s="48" t="s">
        <v>156</v>
      </c>
      <c r="C9" s="48">
        <v>23.05</v>
      </c>
      <c r="D9" s="48" t="s">
        <v>28</v>
      </c>
      <c r="E9" s="48">
        <v>6082.45</v>
      </c>
      <c r="F9" s="48">
        <f t="shared" si="0"/>
        <v>140200.4725</v>
      </c>
    </row>
    <row r="10" spans="1:6" ht="120">
      <c r="A10" s="48" t="s">
        <v>177</v>
      </c>
      <c r="B10" s="48" t="s">
        <v>105</v>
      </c>
      <c r="C10" s="48">
        <v>12.39</v>
      </c>
      <c r="D10" s="48" t="s">
        <v>55</v>
      </c>
      <c r="E10" s="48">
        <v>6308.87</v>
      </c>
      <c r="F10" s="48">
        <f t="shared" si="0"/>
        <v>78166.899300000005</v>
      </c>
    </row>
    <row r="11" spans="1:6" ht="120">
      <c r="A11" s="48" t="s">
        <v>178</v>
      </c>
      <c r="B11" s="48" t="s">
        <v>159</v>
      </c>
      <c r="C11" s="48">
        <v>0.92700000000000005</v>
      </c>
      <c r="D11" s="48" t="s">
        <v>160</v>
      </c>
      <c r="E11" s="48">
        <v>83314.02</v>
      </c>
      <c r="F11" s="48">
        <f t="shared" si="0"/>
        <v>77232.096540000013</v>
      </c>
    </row>
    <row r="12" spans="1:6">
      <c r="A12" s="48"/>
      <c r="B12" s="48" t="s">
        <v>161</v>
      </c>
      <c r="C12" s="48">
        <v>2.1629999999999998</v>
      </c>
      <c r="D12" s="48" t="s">
        <v>160</v>
      </c>
      <c r="E12" s="48">
        <v>82096.539999999994</v>
      </c>
      <c r="F12" s="48">
        <f t="shared" si="0"/>
        <v>177574.81601999997</v>
      </c>
    </row>
    <row r="13" spans="1:6" ht="60">
      <c r="A13" s="48" t="s">
        <v>179</v>
      </c>
      <c r="B13" s="48" t="s">
        <v>163</v>
      </c>
      <c r="C13" s="48">
        <v>276.49</v>
      </c>
      <c r="D13" s="48" t="s">
        <v>85</v>
      </c>
      <c r="E13" s="48">
        <v>194.5</v>
      </c>
      <c r="F13" s="48">
        <f t="shared" si="0"/>
        <v>53777.305</v>
      </c>
    </row>
    <row r="14" spans="1:6">
      <c r="A14" s="50">
        <v>9</v>
      </c>
      <c r="B14" s="48" t="s">
        <v>16</v>
      </c>
      <c r="C14" s="48"/>
      <c r="D14" s="48"/>
      <c r="E14" s="48"/>
      <c r="F14" s="48"/>
    </row>
    <row r="15" spans="1:6">
      <c r="A15" s="48"/>
      <c r="B15" s="48" t="s">
        <v>164</v>
      </c>
      <c r="C15" s="48">
        <v>15.24</v>
      </c>
      <c r="D15" s="48" t="s">
        <v>8</v>
      </c>
      <c r="E15" s="48">
        <v>744.66</v>
      </c>
      <c r="F15" s="48">
        <f t="shared" ref="F15:F19" si="1">PRODUCT(C15:E15)</f>
        <v>11348.618399999999</v>
      </c>
    </row>
    <row r="16" spans="1:6">
      <c r="A16" s="48"/>
      <c r="B16" s="48" t="s">
        <v>165</v>
      </c>
      <c r="C16" s="48">
        <v>6.2</v>
      </c>
      <c r="D16" s="48" t="s">
        <v>8</v>
      </c>
      <c r="E16" s="48">
        <v>387.54</v>
      </c>
      <c r="F16" s="48">
        <f t="shared" si="1"/>
        <v>2402.748</v>
      </c>
    </row>
    <row r="17" spans="1:6">
      <c r="A17" s="48"/>
      <c r="B17" s="48" t="s">
        <v>166</v>
      </c>
      <c r="C17" s="48">
        <v>30.48</v>
      </c>
      <c r="D17" s="48" t="s">
        <v>8</v>
      </c>
      <c r="E17" s="48">
        <v>342.9</v>
      </c>
      <c r="F17" s="48">
        <f t="shared" si="1"/>
        <v>10451.591999999999</v>
      </c>
    </row>
    <row r="18" spans="1:6">
      <c r="A18" s="48"/>
      <c r="B18" s="48" t="s">
        <v>167</v>
      </c>
      <c r="C18" s="48">
        <v>10.33</v>
      </c>
      <c r="D18" s="48" t="s">
        <v>8</v>
      </c>
      <c r="E18" s="48">
        <v>570.94000000000005</v>
      </c>
      <c r="F18" s="48">
        <f t="shared" si="1"/>
        <v>5897.8102000000008</v>
      </c>
    </row>
    <row r="19" spans="1:6">
      <c r="A19" s="48"/>
      <c r="B19" s="48" t="s">
        <v>168</v>
      </c>
      <c r="C19" s="48">
        <v>66.16</v>
      </c>
      <c r="D19" s="48" t="s">
        <v>8</v>
      </c>
      <c r="E19" s="48">
        <v>117.54</v>
      </c>
      <c r="F19" s="48">
        <f t="shared" si="1"/>
        <v>7776.4463999999998</v>
      </c>
    </row>
    <row r="20" spans="1:6">
      <c r="A20" s="53"/>
      <c r="B20" s="54"/>
      <c r="C20" s="55"/>
      <c r="D20" s="50"/>
      <c r="E20" s="55" t="s">
        <v>38</v>
      </c>
      <c r="F20" s="49">
        <f>SUM(F5:F19)</f>
        <v>602432.54915999994</v>
      </c>
    </row>
    <row r="21" spans="1:6" ht="30">
      <c r="A21" s="53"/>
      <c r="B21" s="54"/>
      <c r="C21" s="55"/>
      <c r="D21" s="50"/>
      <c r="E21" s="48" t="s">
        <v>46</v>
      </c>
      <c r="F21" s="48">
        <f>F20*18/100</f>
        <v>108437.8588488</v>
      </c>
    </row>
    <row r="22" spans="1:6">
      <c r="A22" s="53"/>
      <c r="B22" s="54"/>
      <c r="C22" s="55"/>
      <c r="D22" s="50"/>
      <c r="E22" s="48"/>
      <c r="F22" s="48">
        <f>F21+F20</f>
        <v>710870.40800879989</v>
      </c>
    </row>
    <row r="23" spans="1:6" ht="30">
      <c r="A23" s="53"/>
      <c r="B23" s="54"/>
      <c r="C23" s="55"/>
      <c r="D23" s="50"/>
      <c r="E23" s="48" t="s">
        <v>47</v>
      </c>
      <c r="F23" s="48">
        <f>F22*1/100</f>
        <v>7108.7040800879986</v>
      </c>
    </row>
    <row r="24" spans="1:6">
      <c r="A24" s="53"/>
      <c r="B24" s="54"/>
      <c r="C24" s="55"/>
      <c r="D24" s="50"/>
      <c r="E24" s="48" t="s">
        <v>169</v>
      </c>
      <c r="F24" s="48">
        <f>F23+F22</f>
        <v>717979.11208888784</v>
      </c>
    </row>
  </sheetData>
  <mergeCells count="3">
    <mergeCell ref="A1:F1"/>
    <mergeCell ref="A2:F2"/>
    <mergeCell ref="A3:F3"/>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F24"/>
  <sheetViews>
    <sheetView workbookViewId="0">
      <selection activeCell="B6" sqref="B6"/>
    </sheetView>
  </sheetViews>
  <sheetFormatPr defaultRowHeight="15"/>
  <cols>
    <col min="1" max="1" width="9.140625" style="60"/>
    <col min="2" max="2" width="44.5703125" style="61" customWidth="1"/>
    <col min="3" max="3" width="9.140625" style="44"/>
    <col min="4" max="4" width="9.140625" style="62"/>
    <col min="5" max="5" width="9.140625" style="44"/>
    <col min="6" max="6" width="16.42578125" style="64" customWidth="1"/>
    <col min="7" max="16384" width="9.140625" style="44"/>
  </cols>
  <sheetData>
    <row r="1" spans="1:6" ht="18.75">
      <c r="A1" s="308" t="s">
        <v>0</v>
      </c>
      <c r="B1" s="308"/>
      <c r="C1" s="308"/>
      <c r="D1" s="308"/>
      <c r="E1" s="308"/>
      <c r="F1" s="308"/>
    </row>
    <row r="2" spans="1:6" ht="18.75">
      <c r="A2" s="308" t="s">
        <v>22</v>
      </c>
      <c r="B2" s="308"/>
      <c r="C2" s="308"/>
      <c r="D2" s="308"/>
      <c r="E2" s="308"/>
      <c r="F2" s="308"/>
    </row>
    <row r="3" spans="1:6" ht="57.75" customHeight="1">
      <c r="A3" s="309" t="s">
        <v>189</v>
      </c>
      <c r="B3" s="309"/>
      <c r="C3" s="309"/>
      <c r="D3" s="309"/>
      <c r="E3" s="309"/>
      <c r="F3" s="309"/>
    </row>
    <row r="4" spans="1:6">
      <c r="A4" s="45" t="s">
        <v>23</v>
      </c>
      <c r="B4" s="45" t="s">
        <v>24</v>
      </c>
      <c r="C4" s="45" t="s">
        <v>25</v>
      </c>
      <c r="D4" s="45" t="s">
        <v>5</v>
      </c>
      <c r="E4" s="45" t="s">
        <v>26</v>
      </c>
      <c r="F4" s="45" t="s">
        <v>27</v>
      </c>
    </row>
    <row r="5" spans="1:6">
      <c r="A5" s="48">
        <v>1</v>
      </c>
      <c r="B5" s="48" t="s">
        <v>172</v>
      </c>
      <c r="C5" s="48">
        <v>2.63</v>
      </c>
      <c r="D5" s="48" t="s">
        <v>28</v>
      </c>
      <c r="E5" s="48">
        <v>955.89</v>
      </c>
      <c r="F5" s="48">
        <f>C5*E5</f>
        <v>2513.9906999999998</v>
      </c>
    </row>
    <row r="6" spans="1:6" ht="165">
      <c r="A6" s="48" t="s">
        <v>173</v>
      </c>
      <c r="B6" s="48" t="s">
        <v>150</v>
      </c>
      <c r="C6" s="48">
        <v>28.13</v>
      </c>
      <c r="D6" s="48" t="s">
        <v>8</v>
      </c>
      <c r="E6" s="48">
        <v>167.33</v>
      </c>
      <c r="F6" s="48">
        <f t="shared" ref="F6:F19" si="0">C6*E6</f>
        <v>4706.9929000000002</v>
      </c>
    </row>
    <row r="7" spans="1:6" ht="120">
      <c r="A7" s="48" t="s">
        <v>174</v>
      </c>
      <c r="B7" s="48" t="s">
        <v>152</v>
      </c>
      <c r="C7" s="48">
        <v>2.63</v>
      </c>
      <c r="D7" s="48" t="s">
        <v>8</v>
      </c>
      <c r="E7" s="48">
        <v>589.51</v>
      </c>
      <c r="F7" s="48">
        <f t="shared" si="0"/>
        <v>1550.4113</v>
      </c>
    </row>
    <row r="8" spans="1:6" ht="90">
      <c r="A8" s="48" t="s">
        <v>175</v>
      </c>
      <c r="B8" s="48" t="s">
        <v>154</v>
      </c>
      <c r="C8" s="48">
        <v>4.3899999999999997</v>
      </c>
      <c r="D8" s="48" t="s">
        <v>8</v>
      </c>
      <c r="E8" s="48">
        <v>1756.4</v>
      </c>
      <c r="F8" s="48">
        <f t="shared" si="0"/>
        <v>7710.5959999999995</v>
      </c>
    </row>
    <row r="9" spans="1:6" ht="135">
      <c r="A9" s="48" t="s">
        <v>176</v>
      </c>
      <c r="B9" s="48" t="s">
        <v>156</v>
      </c>
      <c r="C9" s="48">
        <v>11.38</v>
      </c>
      <c r="D9" s="48" t="s">
        <v>28</v>
      </c>
      <c r="E9" s="48">
        <v>6082.45</v>
      </c>
      <c r="F9" s="48">
        <f t="shared" si="0"/>
        <v>69218.281000000003</v>
      </c>
    </row>
    <row r="10" spans="1:6" ht="120">
      <c r="A10" s="48" t="s">
        <v>177</v>
      </c>
      <c r="B10" s="48" t="s">
        <v>105</v>
      </c>
      <c r="C10" s="48">
        <v>5.27</v>
      </c>
      <c r="D10" s="48" t="s">
        <v>55</v>
      </c>
      <c r="E10" s="48">
        <v>6308.87</v>
      </c>
      <c r="F10" s="48">
        <f t="shared" si="0"/>
        <v>33247.744899999998</v>
      </c>
    </row>
    <row r="11" spans="1:6" ht="120">
      <c r="A11" s="48" t="s">
        <v>178</v>
      </c>
      <c r="B11" s="48" t="s">
        <v>159</v>
      </c>
      <c r="C11" s="48">
        <v>0.44</v>
      </c>
      <c r="D11" s="48" t="s">
        <v>160</v>
      </c>
      <c r="E11" s="48">
        <v>83314.02</v>
      </c>
      <c r="F11" s="48">
        <f t="shared" si="0"/>
        <v>36658.168799999999</v>
      </c>
    </row>
    <row r="12" spans="1:6">
      <c r="A12" s="48"/>
      <c r="B12" s="48" t="s">
        <v>161</v>
      </c>
      <c r="C12" s="48">
        <v>1.02</v>
      </c>
      <c r="D12" s="48" t="s">
        <v>160</v>
      </c>
      <c r="E12" s="48">
        <v>82096.539999999994</v>
      </c>
      <c r="F12" s="48">
        <f t="shared" si="0"/>
        <v>83738.470799999996</v>
      </c>
    </row>
    <row r="13" spans="1:6" ht="60">
      <c r="A13" s="48" t="s">
        <v>179</v>
      </c>
      <c r="B13" s="48" t="s">
        <v>163</v>
      </c>
      <c r="C13" s="48">
        <v>138.29</v>
      </c>
      <c r="D13" s="48" t="s">
        <v>85</v>
      </c>
      <c r="E13" s="48">
        <v>194.5</v>
      </c>
      <c r="F13" s="48">
        <f t="shared" si="0"/>
        <v>26897.404999999999</v>
      </c>
    </row>
    <row r="14" spans="1:6">
      <c r="A14" s="50">
        <v>9</v>
      </c>
      <c r="B14" s="48" t="s">
        <v>16</v>
      </c>
      <c r="C14" s="48"/>
      <c r="D14" s="48"/>
      <c r="E14" s="48"/>
      <c r="F14" s="48"/>
    </row>
    <row r="15" spans="1:6">
      <c r="A15" s="48"/>
      <c r="B15" s="48" t="s">
        <v>164</v>
      </c>
      <c r="C15" s="48">
        <v>7.16</v>
      </c>
      <c r="D15" s="48" t="s">
        <v>8</v>
      </c>
      <c r="E15" s="48">
        <v>744.66</v>
      </c>
      <c r="F15" s="48">
        <f t="shared" si="0"/>
        <v>5331.7655999999997</v>
      </c>
    </row>
    <row r="16" spans="1:6">
      <c r="A16" s="48"/>
      <c r="B16" s="48" t="s">
        <v>165</v>
      </c>
      <c r="C16" s="48">
        <v>2.63</v>
      </c>
      <c r="D16" s="48" t="s">
        <v>8</v>
      </c>
      <c r="E16" s="48">
        <v>387.54</v>
      </c>
      <c r="F16" s="48">
        <f t="shared" si="0"/>
        <v>1019.2302</v>
      </c>
    </row>
    <row r="17" spans="1:6">
      <c r="A17" s="48"/>
      <c r="B17" s="48" t="s">
        <v>166</v>
      </c>
      <c r="C17" s="48">
        <v>14.32</v>
      </c>
      <c r="D17" s="48" t="s">
        <v>8</v>
      </c>
      <c r="E17" s="48">
        <v>342.9</v>
      </c>
      <c r="F17" s="48">
        <f t="shared" si="0"/>
        <v>4910.3279999999995</v>
      </c>
    </row>
    <row r="18" spans="1:6">
      <c r="A18" s="48"/>
      <c r="B18" s="48" t="s">
        <v>167</v>
      </c>
      <c r="C18" s="48">
        <v>4.3899999999999997</v>
      </c>
      <c r="D18" s="48" t="s">
        <v>8</v>
      </c>
      <c r="E18" s="48">
        <v>570.94000000000005</v>
      </c>
      <c r="F18" s="48">
        <f t="shared" si="0"/>
        <v>2506.4266000000002</v>
      </c>
    </row>
    <row r="19" spans="1:6">
      <c r="A19" s="48"/>
      <c r="B19" s="48" t="s">
        <v>168</v>
      </c>
      <c r="C19" s="48">
        <v>28.13</v>
      </c>
      <c r="D19" s="48" t="s">
        <v>8</v>
      </c>
      <c r="E19" s="48">
        <v>117.54</v>
      </c>
      <c r="F19" s="48">
        <f t="shared" si="0"/>
        <v>3306.4002</v>
      </c>
    </row>
    <row r="20" spans="1:6">
      <c r="A20" s="53"/>
      <c r="B20" s="54"/>
      <c r="C20" s="55"/>
      <c r="D20" s="50"/>
      <c r="E20" s="55" t="s">
        <v>38</v>
      </c>
      <c r="F20" s="49">
        <f>SUM(F5:F19)</f>
        <v>283316.21199999994</v>
      </c>
    </row>
    <row r="21" spans="1:6" ht="30">
      <c r="A21" s="53"/>
      <c r="B21" s="54"/>
      <c r="C21" s="55"/>
      <c r="D21" s="50"/>
      <c r="E21" s="48" t="s">
        <v>46</v>
      </c>
      <c r="F21" s="48">
        <f>F20*18/100</f>
        <v>50996.918159999987</v>
      </c>
    </row>
    <row r="22" spans="1:6">
      <c r="A22" s="53"/>
      <c r="B22" s="54"/>
      <c r="C22" s="55"/>
      <c r="D22" s="50"/>
      <c r="E22" s="48"/>
      <c r="F22" s="48">
        <f>F21+F20</f>
        <v>334313.13015999994</v>
      </c>
    </row>
    <row r="23" spans="1:6" ht="30">
      <c r="A23" s="53"/>
      <c r="B23" s="54"/>
      <c r="C23" s="55"/>
      <c r="D23" s="50"/>
      <c r="E23" s="48" t="s">
        <v>47</v>
      </c>
      <c r="F23" s="48">
        <f>F22*1/100</f>
        <v>3343.1313015999995</v>
      </c>
    </row>
    <row r="24" spans="1:6">
      <c r="A24" s="53"/>
      <c r="B24" s="54"/>
      <c r="C24" s="55"/>
      <c r="D24" s="50"/>
      <c r="E24" s="48" t="s">
        <v>169</v>
      </c>
      <c r="F24" s="48">
        <f>F23+F22</f>
        <v>337656.26146159996</v>
      </c>
    </row>
  </sheetData>
  <mergeCells count="3">
    <mergeCell ref="A1:F1"/>
    <mergeCell ref="A2:F2"/>
    <mergeCell ref="A3:F3"/>
  </mergeCell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F20"/>
  <sheetViews>
    <sheetView workbookViewId="0">
      <selection activeCell="B5" sqref="B5"/>
    </sheetView>
  </sheetViews>
  <sheetFormatPr defaultRowHeight="15"/>
  <cols>
    <col min="1" max="1" width="9.140625" style="60"/>
    <col min="2" max="2" width="44.5703125" style="61" customWidth="1"/>
    <col min="3" max="3" width="9.140625" style="44"/>
    <col min="4" max="4" width="9.140625" style="62"/>
    <col min="5" max="5" width="9.140625" style="44"/>
    <col min="6" max="6" width="16.42578125" style="64" customWidth="1"/>
    <col min="7" max="16384" width="9.140625" style="44"/>
  </cols>
  <sheetData>
    <row r="1" spans="1:6" ht="18.75">
      <c r="A1" s="308" t="s">
        <v>0</v>
      </c>
      <c r="B1" s="308"/>
      <c r="C1" s="308"/>
      <c r="D1" s="308"/>
      <c r="E1" s="308"/>
      <c r="F1" s="308"/>
    </row>
    <row r="2" spans="1:6" ht="18.75">
      <c r="A2" s="308" t="s">
        <v>22</v>
      </c>
      <c r="B2" s="308"/>
      <c r="C2" s="308"/>
      <c r="D2" s="308"/>
      <c r="E2" s="308"/>
      <c r="F2" s="308"/>
    </row>
    <row r="3" spans="1:6" ht="57.75" customHeight="1">
      <c r="A3" s="309" t="s">
        <v>188</v>
      </c>
      <c r="B3" s="309"/>
      <c r="C3" s="309"/>
      <c r="D3" s="309"/>
      <c r="E3" s="309"/>
      <c r="F3" s="309"/>
    </row>
    <row r="4" spans="1:6">
      <c r="A4" s="45" t="s">
        <v>23</v>
      </c>
      <c r="B4" s="45" t="s">
        <v>24</v>
      </c>
      <c r="C4" s="45" t="s">
        <v>25</v>
      </c>
      <c r="D4" s="45" t="s">
        <v>5</v>
      </c>
      <c r="E4" s="45" t="s">
        <v>26</v>
      </c>
      <c r="F4" s="45" t="s">
        <v>27</v>
      </c>
    </row>
    <row r="5" spans="1:6" ht="165">
      <c r="A5" s="48" t="s">
        <v>100</v>
      </c>
      <c r="B5" s="48" t="s">
        <v>150</v>
      </c>
      <c r="C5" s="48">
        <v>18.97</v>
      </c>
      <c r="D5" s="48" t="s">
        <v>8</v>
      </c>
      <c r="E5" s="48">
        <v>151.82</v>
      </c>
      <c r="F5" s="48">
        <f t="shared" ref="F5:F9" si="0">C5*E5</f>
        <v>2880.0253999999995</v>
      </c>
    </row>
    <row r="6" spans="1:6" ht="120">
      <c r="A6" s="48" t="s">
        <v>151</v>
      </c>
      <c r="B6" s="48" t="s">
        <v>152</v>
      </c>
      <c r="C6" s="48">
        <v>2.27</v>
      </c>
      <c r="D6" s="48" t="s">
        <v>8</v>
      </c>
      <c r="E6" s="48">
        <v>589.51</v>
      </c>
      <c r="F6" s="48">
        <f t="shared" si="0"/>
        <v>1338.1876999999999</v>
      </c>
    </row>
    <row r="7" spans="1:6" ht="90">
      <c r="A7" s="48" t="s">
        <v>153</v>
      </c>
      <c r="B7" s="48" t="s">
        <v>154</v>
      </c>
      <c r="C7" s="48">
        <v>11.8</v>
      </c>
      <c r="D7" s="48" t="s">
        <v>8</v>
      </c>
      <c r="E7" s="48">
        <v>1756.4</v>
      </c>
      <c r="F7" s="48">
        <f t="shared" si="0"/>
        <v>20725.520000000004</v>
      </c>
    </row>
    <row r="8" spans="1:6" ht="120">
      <c r="A8" s="48" t="s">
        <v>181</v>
      </c>
      <c r="B8" s="48" t="s">
        <v>63</v>
      </c>
      <c r="C8" s="48">
        <v>14.16</v>
      </c>
      <c r="D8" s="48" t="s">
        <v>85</v>
      </c>
      <c r="E8" s="48">
        <v>4961.7299999999996</v>
      </c>
      <c r="F8" s="48">
        <f t="shared" si="0"/>
        <v>70258.096799999999</v>
      </c>
    </row>
    <row r="9" spans="1:6" ht="60">
      <c r="A9" s="48" t="s">
        <v>182</v>
      </c>
      <c r="B9" s="48" t="s">
        <v>163</v>
      </c>
      <c r="C9" s="48">
        <v>9.2899999999999991</v>
      </c>
      <c r="D9" s="48" t="s">
        <v>85</v>
      </c>
      <c r="E9" s="48">
        <v>194.5</v>
      </c>
      <c r="F9" s="48">
        <f t="shared" si="0"/>
        <v>1806.9049999999997</v>
      </c>
    </row>
    <row r="10" spans="1:6">
      <c r="A10" s="50">
        <v>6</v>
      </c>
      <c r="B10" s="48" t="s">
        <v>16</v>
      </c>
      <c r="C10" s="48"/>
      <c r="D10" s="48"/>
      <c r="E10" s="48"/>
      <c r="F10" s="48"/>
    </row>
    <row r="11" spans="1:6">
      <c r="A11" s="48" t="s">
        <v>184</v>
      </c>
      <c r="B11" s="48" t="s">
        <v>164</v>
      </c>
      <c r="C11" s="48">
        <v>6.09</v>
      </c>
      <c r="D11" s="48" t="s">
        <v>8</v>
      </c>
      <c r="E11" s="48">
        <v>744.66</v>
      </c>
      <c r="F11" s="48">
        <f t="shared" ref="F11:F15" si="1">PRODUCT(C11:E11)</f>
        <v>4534.9793999999993</v>
      </c>
    </row>
    <row r="12" spans="1:6">
      <c r="A12" s="48" t="s">
        <v>183</v>
      </c>
      <c r="B12" s="48" t="s">
        <v>165</v>
      </c>
      <c r="C12" s="48">
        <v>2.27</v>
      </c>
      <c r="D12" s="48" t="s">
        <v>8</v>
      </c>
      <c r="E12" s="48">
        <v>387.54</v>
      </c>
      <c r="F12" s="48">
        <f t="shared" si="1"/>
        <v>879.71580000000006</v>
      </c>
    </row>
    <row r="13" spans="1:6">
      <c r="A13" s="48" t="s">
        <v>185</v>
      </c>
      <c r="B13" s="48" t="s">
        <v>166</v>
      </c>
      <c r="C13" s="48">
        <v>12.18</v>
      </c>
      <c r="D13" s="48" t="s">
        <v>8</v>
      </c>
      <c r="E13" s="48">
        <v>342.9</v>
      </c>
      <c r="F13" s="48">
        <f t="shared" si="1"/>
        <v>4176.5219999999999</v>
      </c>
    </row>
    <row r="14" spans="1:6">
      <c r="A14" s="48" t="s">
        <v>186</v>
      </c>
      <c r="B14" s="48" t="s">
        <v>167</v>
      </c>
      <c r="C14" s="48">
        <v>11.8</v>
      </c>
      <c r="D14" s="48" t="s">
        <v>8</v>
      </c>
      <c r="E14" s="48">
        <v>570.94000000000005</v>
      </c>
      <c r="F14" s="48">
        <f t="shared" si="1"/>
        <v>6737.0920000000015</v>
      </c>
    </row>
    <row r="15" spans="1:6">
      <c r="A15" s="48" t="s">
        <v>187</v>
      </c>
      <c r="B15" s="48" t="s">
        <v>168</v>
      </c>
      <c r="C15" s="48">
        <v>18.97</v>
      </c>
      <c r="D15" s="48" t="s">
        <v>8</v>
      </c>
      <c r="E15" s="48">
        <v>117.54</v>
      </c>
      <c r="F15" s="48">
        <f t="shared" si="1"/>
        <v>2229.7338</v>
      </c>
    </row>
    <row r="16" spans="1:6">
      <c r="A16" s="53"/>
      <c r="B16" s="54"/>
      <c r="C16" s="55"/>
      <c r="D16" s="50"/>
      <c r="E16" s="55" t="s">
        <v>38</v>
      </c>
      <c r="F16" s="49">
        <f>SUM(F5:F15)</f>
        <v>115566.77790000002</v>
      </c>
    </row>
    <row r="17" spans="1:6" ht="30">
      <c r="A17" s="53"/>
      <c r="B17" s="54"/>
      <c r="C17" s="55"/>
      <c r="D17" s="50"/>
      <c r="E17" s="48" t="s">
        <v>46</v>
      </c>
      <c r="F17" s="48">
        <f>F16*18/100</f>
        <v>20802.020022000001</v>
      </c>
    </row>
    <row r="18" spans="1:6">
      <c r="A18" s="53"/>
      <c r="B18" s="54"/>
      <c r="C18" s="55"/>
      <c r="D18" s="50"/>
      <c r="E18" s="48"/>
      <c r="F18" s="48">
        <f>F17+F16</f>
        <v>136368.79792200003</v>
      </c>
    </row>
    <row r="19" spans="1:6" ht="30">
      <c r="A19" s="53"/>
      <c r="B19" s="54"/>
      <c r="C19" s="55"/>
      <c r="D19" s="50"/>
      <c r="E19" s="48" t="s">
        <v>47</v>
      </c>
      <c r="F19" s="48">
        <f>F18*1/100</f>
        <v>1363.6879792200002</v>
      </c>
    </row>
    <row r="20" spans="1:6">
      <c r="A20" s="53"/>
      <c r="B20" s="54"/>
      <c r="C20" s="55"/>
      <c r="D20" s="50"/>
      <c r="E20" s="48" t="s">
        <v>169</v>
      </c>
      <c r="F20" s="48">
        <f>F19+F18</f>
        <v>137732.48590122003</v>
      </c>
    </row>
  </sheetData>
  <mergeCells count="3">
    <mergeCell ref="A1:F1"/>
    <mergeCell ref="A2:F2"/>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J50"/>
  <sheetViews>
    <sheetView workbookViewId="0">
      <selection activeCell="K3" sqref="K3"/>
    </sheetView>
  </sheetViews>
  <sheetFormatPr defaultRowHeight="15"/>
  <cols>
    <col min="1" max="1" width="7.7109375" customWidth="1"/>
    <col min="2" max="2" width="50.42578125" customWidth="1"/>
    <col min="3" max="3" width="8.5703125" customWidth="1"/>
    <col min="4" max="4" width="5.140625" bestFit="1" customWidth="1"/>
    <col min="5" max="5" width="10.28515625" customWidth="1"/>
    <col min="6" max="6" width="18.85546875" customWidth="1"/>
  </cols>
  <sheetData>
    <row r="1" spans="1:10" ht="21" customHeight="1">
      <c r="A1" s="285" t="s">
        <v>190</v>
      </c>
      <c r="B1" s="285"/>
      <c r="C1" s="285"/>
      <c r="D1" s="285"/>
      <c r="E1" s="285"/>
      <c r="F1" s="285"/>
    </row>
    <row r="2" spans="1:10" ht="14.25" customHeight="1">
      <c r="A2" s="286" t="s">
        <v>48</v>
      </c>
      <c r="B2" s="287"/>
      <c r="C2" s="287"/>
      <c r="D2" s="287"/>
      <c r="E2" s="287"/>
      <c r="F2" s="288"/>
    </row>
    <row r="3" spans="1:10" ht="25.5" customHeight="1">
      <c r="A3" s="289" t="s">
        <v>218</v>
      </c>
      <c r="B3" s="290"/>
      <c r="C3" s="290"/>
      <c r="D3" s="290"/>
      <c r="E3" s="290"/>
      <c r="F3" s="291"/>
      <c r="G3" s="150"/>
      <c r="H3" s="150"/>
      <c r="I3" s="150"/>
      <c r="J3" s="150"/>
    </row>
    <row r="4" spans="1:10" s="108" customFormat="1" ht="60" customHeight="1">
      <c r="A4" s="151" t="s">
        <v>192</v>
      </c>
      <c r="B4" s="184" t="s">
        <v>193</v>
      </c>
      <c r="C4" s="153">
        <v>52.18</v>
      </c>
      <c r="D4" s="155" t="s">
        <v>8</v>
      </c>
      <c r="E4" s="155">
        <v>151.82</v>
      </c>
      <c r="F4" s="156">
        <f>ROUND((C4*E4),2)</f>
        <v>7921.97</v>
      </c>
      <c r="G4" s="150"/>
      <c r="H4" s="150"/>
      <c r="I4" s="150"/>
      <c r="J4" s="150"/>
    </row>
    <row r="5" spans="1:10" ht="63" customHeight="1">
      <c r="A5" s="185" t="s">
        <v>213</v>
      </c>
      <c r="B5" s="186" t="s">
        <v>214</v>
      </c>
      <c r="C5" s="174">
        <v>4.8899999999999997</v>
      </c>
      <c r="D5" s="155" t="s">
        <v>8</v>
      </c>
      <c r="E5" s="174">
        <f>'[1]Adv Anil'!I11</f>
        <v>347.85</v>
      </c>
      <c r="F5" s="156">
        <f t="shared" ref="F5:F17" si="0">ROUND((C5*E5),2)</f>
        <v>1700.99</v>
      </c>
      <c r="G5" s="150"/>
      <c r="H5" s="150"/>
      <c r="I5" s="150"/>
      <c r="J5" s="150"/>
    </row>
    <row r="6" spans="1:10" s="150" customFormat="1" ht="52.5" customHeight="1">
      <c r="A6" s="158" t="s">
        <v>195</v>
      </c>
      <c r="B6" s="187" t="s">
        <v>15</v>
      </c>
      <c r="C6" s="174">
        <v>8.01</v>
      </c>
      <c r="D6" s="155" t="s">
        <v>8</v>
      </c>
      <c r="E6" s="174">
        <v>1756.4</v>
      </c>
      <c r="F6" s="156">
        <f t="shared" si="0"/>
        <v>14068.76</v>
      </c>
      <c r="I6" s="150" t="s">
        <v>216</v>
      </c>
    </row>
    <row r="7" spans="1:10" s="150" customFormat="1" ht="51.75" customHeight="1">
      <c r="A7" s="158" t="s">
        <v>215</v>
      </c>
      <c r="B7" s="188" t="s">
        <v>197</v>
      </c>
      <c r="C7" s="174">
        <v>24.43</v>
      </c>
      <c r="D7" s="155" t="s">
        <v>8</v>
      </c>
      <c r="E7" s="174">
        <v>6082.45</v>
      </c>
      <c r="F7" s="156">
        <f t="shared" si="0"/>
        <v>148594.25</v>
      </c>
    </row>
    <row r="8" spans="1:10" s="150" customFormat="1" ht="58.5" customHeight="1">
      <c r="A8" s="158" t="s">
        <v>217</v>
      </c>
      <c r="B8" s="188" t="s">
        <v>199</v>
      </c>
      <c r="C8" s="174">
        <v>9.77</v>
      </c>
      <c r="D8" s="155" t="s">
        <v>8</v>
      </c>
      <c r="E8" s="174">
        <v>6308.87</v>
      </c>
      <c r="F8" s="156">
        <f t="shared" si="0"/>
        <v>61637.66</v>
      </c>
    </row>
    <row r="9" spans="1:10" s="150" customFormat="1" ht="83.25" customHeight="1">
      <c r="A9" s="189">
        <v>6</v>
      </c>
      <c r="B9" s="190" t="s">
        <v>200</v>
      </c>
      <c r="C9" s="191">
        <v>1.087</v>
      </c>
      <c r="D9" s="155" t="s">
        <v>8</v>
      </c>
      <c r="E9" s="174">
        <v>83314.02</v>
      </c>
      <c r="F9" s="156">
        <f t="shared" si="0"/>
        <v>90562.34</v>
      </c>
    </row>
    <row r="10" spans="1:10" s="150" customFormat="1" ht="15.75" customHeight="1">
      <c r="A10" s="189"/>
      <c r="B10" s="190" t="s">
        <v>201</v>
      </c>
      <c r="C10" s="191">
        <v>1.66</v>
      </c>
      <c r="D10" s="155" t="s">
        <v>8</v>
      </c>
      <c r="E10" s="174">
        <v>82096.539999999994</v>
      </c>
      <c r="F10" s="156">
        <f t="shared" si="0"/>
        <v>136280.26</v>
      </c>
    </row>
    <row r="11" spans="1:10" s="150" customFormat="1" ht="33.75" customHeight="1">
      <c r="A11" s="158" t="s">
        <v>202</v>
      </c>
      <c r="B11" s="187" t="s">
        <v>203</v>
      </c>
      <c r="C11" s="166">
        <v>192.38</v>
      </c>
      <c r="D11" s="158" t="s">
        <v>9</v>
      </c>
      <c r="E11" s="166">
        <v>194.5</v>
      </c>
      <c r="F11" s="156">
        <f t="shared" si="0"/>
        <v>37417.910000000003</v>
      </c>
    </row>
    <row r="12" spans="1:10" s="150" customFormat="1" ht="19.5" customHeight="1">
      <c r="A12" s="158">
        <v>8</v>
      </c>
      <c r="B12" s="187" t="s">
        <v>204</v>
      </c>
      <c r="C12" s="166">
        <v>0</v>
      </c>
      <c r="D12" s="166">
        <v>0</v>
      </c>
      <c r="E12" s="166">
        <v>0</v>
      </c>
      <c r="F12" s="156">
        <v>0</v>
      </c>
    </row>
    <row r="13" spans="1:10" s="150" customFormat="1" ht="20.25" customHeight="1">
      <c r="A13" s="167" t="s">
        <v>17</v>
      </c>
      <c r="B13" s="192" t="s">
        <v>205</v>
      </c>
      <c r="C13" s="174">
        <v>14.7</v>
      </c>
      <c r="D13" s="174" t="s">
        <v>8</v>
      </c>
      <c r="E13" s="166">
        <v>848.82</v>
      </c>
      <c r="F13" s="156">
        <f t="shared" si="0"/>
        <v>12477.65</v>
      </c>
    </row>
    <row r="14" spans="1:10" s="150" customFormat="1" ht="20.25" customHeight="1">
      <c r="A14" s="167" t="s">
        <v>18</v>
      </c>
      <c r="B14" s="192" t="s">
        <v>206</v>
      </c>
      <c r="C14" s="174">
        <v>4.8899999999999997</v>
      </c>
      <c r="D14" s="174" t="s">
        <v>8</v>
      </c>
      <c r="E14" s="166">
        <v>447.06</v>
      </c>
      <c r="F14" s="156">
        <f t="shared" si="0"/>
        <v>2186.12</v>
      </c>
    </row>
    <row r="15" spans="1:10" s="150" customFormat="1" ht="21" customHeight="1">
      <c r="A15" s="167" t="s">
        <v>19</v>
      </c>
      <c r="B15" s="193" t="s">
        <v>207</v>
      </c>
      <c r="C15" s="174">
        <v>29.41</v>
      </c>
      <c r="D15" s="174" t="s">
        <v>8</v>
      </c>
      <c r="E15" s="166">
        <v>447.06</v>
      </c>
      <c r="F15" s="156">
        <f t="shared" si="0"/>
        <v>13148.03</v>
      </c>
    </row>
    <row r="16" spans="1:10" s="150" customFormat="1" ht="19.5" customHeight="1">
      <c r="A16" s="167" t="s">
        <v>20</v>
      </c>
      <c r="B16" s="193" t="s">
        <v>208</v>
      </c>
      <c r="C16" s="174">
        <v>8.01</v>
      </c>
      <c r="D16" s="174" t="s">
        <v>8</v>
      </c>
      <c r="E16" s="166">
        <v>679.66</v>
      </c>
      <c r="F16" s="156">
        <f t="shared" si="0"/>
        <v>5444.08</v>
      </c>
    </row>
    <row r="17" spans="1:6" s="150" customFormat="1">
      <c r="A17" s="167" t="s">
        <v>21</v>
      </c>
      <c r="B17" s="193" t="s">
        <v>209</v>
      </c>
      <c r="C17" s="174">
        <v>52.18</v>
      </c>
      <c r="D17" s="174" t="s">
        <v>8</v>
      </c>
      <c r="E17" s="166">
        <v>117.54</v>
      </c>
      <c r="F17" s="156">
        <f t="shared" si="0"/>
        <v>6133.24</v>
      </c>
    </row>
    <row r="18" spans="1:6" s="150" customFormat="1">
      <c r="A18" s="170"/>
      <c r="B18" s="171"/>
      <c r="C18" s="194"/>
      <c r="D18" s="195"/>
      <c r="E18" s="195" t="s">
        <v>38</v>
      </c>
      <c r="F18" s="174">
        <f>SUM(F4:F17)</f>
        <v>537573.26</v>
      </c>
    </row>
    <row r="19" spans="1:6" s="150" customFormat="1">
      <c r="A19" s="175"/>
      <c r="B19" s="176"/>
      <c r="C19" s="195"/>
      <c r="D19" s="194"/>
      <c r="E19" s="195" t="s">
        <v>210</v>
      </c>
      <c r="F19" s="174">
        <f>F18*18/100</f>
        <v>96763.186799999996</v>
      </c>
    </row>
    <row r="20" spans="1:6" s="150" customFormat="1">
      <c r="A20" s="175"/>
      <c r="B20" s="176"/>
      <c r="C20" s="195"/>
      <c r="D20" s="195"/>
      <c r="E20" s="195"/>
      <c r="F20" s="174">
        <f>F18+F19</f>
        <v>634336.44680000003</v>
      </c>
    </row>
    <row r="21" spans="1:6" s="150" customFormat="1">
      <c r="A21" s="175"/>
      <c r="B21" s="176"/>
      <c r="C21" s="195"/>
      <c r="D21" s="195"/>
      <c r="E21" s="195" t="s">
        <v>211</v>
      </c>
      <c r="F21" s="174">
        <f>F20*1/100</f>
        <v>6343.3644680000007</v>
      </c>
    </row>
    <row r="22" spans="1:6" s="150" customFormat="1">
      <c r="A22" s="175"/>
      <c r="B22" s="176"/>
      <c r="C22" s="195"/>
      <c r="D22" s="195"/>
      <c r="E22" s="195" t="s">
        <v>38</v>
      </c>
      <c r="F22" s="177">
        <f>F20+F21</f>
        <v>640679.81126800005</v>
      </c>
    </row>
    <row r="23" spans="1:6" s="150" customFormat="1">
      <c r="C23" s="178"/>
      <c r="D23" s="178"/>
      <c r="E23" s="178"/>
      <c r="F23" s="178"/>
    </row>
    <row r="24" spans="1:6" s="150" customFormat="1">
      <c r="C24" s="178"/>
      <c r="D24" s="178"/>
      <c r="E24" s="178"/>
      <c r="F24" s="178"/>
    </row>
    <row r="25" spans="1:6" s="150" customFormat="1">
      <c r="C25" s="178"/>
      <c r="D25" s="178"/>
      <c r="E25" s="178"/>
      <c r="F25" s="178"/>
    </row>
    <row r="26" spans="1:6" s="150" customFormat="1">
      <c r="C26" s="178"/>
      <c r="D26" s="178"/>
      <c r="E26" s="178"/>
      <c r="F26" s="178"/>
    </row>
    <row r="27" spans="1:6" s="150" customFormat="1">
      <c r="C27" s="178"/>
      <c r="D27" s="178"/>
      <c r="E27" s="178"/>
      <c r="F27" s="178"/>
    </row>
    <row r="28" spans="1:6" s="150" customFormat="1">
      <c r="C28" s="178"/>
      <c r="D28" s="178"/>
      <c r="E28" s="178"/>
      <c r="F28" s="178"/>
    </row>
    <row r="29" spans="1:6" s="150" customFormat="1">
      <c r="C29" s="178"/>
      <c r="D29" s="178"/>
      <c r="E29" s="178"/>
      <c r="F29" s="178"/>
    </row>
    <row r="30" spans="1:6" s="150" customFormat="1">
      <c r="C30" s="178"/>
      <c r="D30" s="178"/>
      <c r="E30" s="178"/>
      <c r="F30" s="178"/>
    </row>
    <row r="31" spans="1:6" s="150" customFormat="1">
      <c r="C31" s="178"/>
      <c r="D31" s="178"/>
      <c r="E31" s="178"/>
      <c r="F31" s="178"/>
    </row>
    <row r="32" spans="1:6" s="150" customFormat="1">
      <c r="C32" s="178"/>
      <c r="D32" s="178"/>
      <c r="E32" s="178"/>
      <c r="F32" s="178"/>
    </row>
    <row r="33" spans="1:10" s="150" customFormat="1">
      <c r="C33" s="178"/>
      <c r="D33" s="178"/>
      <c r="E33" s="178"/>
      <c r="F33" s="178"/>
    </row>
    <row r="34" spans="1:10" s="150" customFormat="1">
      <c r="C34" s="178"/>
      <c r="D34" s="178"/>
      <c r="E34" s="178"/>
      <c r="F34" s="178"/>
    </row>
    <row r="35" spans="1:10" s="150" customFormat="1">
      <c r="C35" s="178"/>
      <c r="D35" s="178"/>
      <c r="E35" s="178"/>
      <c r="F35" s="178"/>
    </row>
    <row r="36" spans="1:10" s="150" customFormat="1">
      <c r="C36" s="178"/>
      <c r="D36" s="178"/>
      <c r="E36" s="178"/>
      <c r="F36" s="178"/>
      <c r="G36"/>
      <c r="H36"/>
      <c r="I36"/>
      <c r="J36"/>
    </row>
    <row r="37" spans="1:10" s="150" customFormat="1">
      <c r="C37" s="178"/>
      <c r="D37" s="178"/>
      <c r="E37" s="178"/>
      <c r="F37" s="178"/>
      <c r="G37"/>
      <c r="H37"/>
      <c r="I37"/>
      <c r="J37"/>
    </row>
    <row r="38" spans="1:10" s="150" customFormat="1">
      <c r="C38" s="178"/>
      <c r="D38" s="178"/>
      <c r="E38" s="178"/>
      <c r="F38" s="178"/>
      <c r="G38"/>
      <c r="H38"/>
      <c r="I38"/>
      <c r="J38"/>
    </row>
    <row r="39" spans="1:10" s="150" customFormat="1">
      <c r="C39" s="178"/>
      <c r="D39" s="178"/>
      <c r="E39" s="178"/>
      <c r="F39" s="178"/>
      <c r="G39"/>
      <c r="H39"/>
      <c r="I39"/>
      <c r="J39"/>
    </row>
    <row r="40" spans="1:10" s="150" customFormat="1">
      <c r="A40"/>
      <c r="B40"/>
      <c r="C40" s="179"/>
      <c r="D40" s="179"/>
      <c r="E40" s="179"/>
      <c r="F40" s="179"/>
      <c r="G40"/>
      <c r="H40"/>
      <c r="I40"/>
      <c r="J40"/>
    </row>
    <row r="41" spans="1:10">
      <c r="C41" s="179"/>
      <c r="D41" s="179"/>
      <c r="E41" s="179"/>
      <c r="F41" s="179"/>
    </row>
    <row r="42" spans="1:10">
      <c r="C42" s="179"/>
      <c r="D42" s="179"/>
      <c r="E42" s="179"/>
      <c r="F42" s="179"/>
    </row>
    <row r="43" spans="1:10">
      <c r="C43" s="179"/>
      <c r="D43" s="179"/>
      <c r="E43" s="179"/>
      <c r="F43" s="179"/>
    </row>
    <row r="44" spans="1:10">
      <c r="C44" s="179"/>
      <c r="D44" s="179"/>
      <c r="E44" s="179"/>
      <c r="F44" s="179"/>
    </row>
    <row r="45" spans="1:10">
      <c r="C45" s="179"/>
      <c r="D45" s="179"/>
      <c r="E45" s="179"/>
      <c r="F45" s="179"/>
    </row>
    <row r="46" spans="1:10">
      <c r="C46" s="179"/>
      <c r="D46" s="179"/>
      <c r="E46" s="179"/>
      <c r="F46" s="179"/>
    </row>
    <row r="47" spans="1:10">
      <c r="C47" s="179"/>
      <c r="D47" s="179"/>
      <c r="E47" s="179"/>
      <c r="F47" s="179"/>
    </row>
    <row r="48" spans="1:10">
      <c r="C48" s="179"/>
      <c r="D48" s="179"/>
      <c r="E48" s="179"/>
      <c r="F48" s="179"/>
    </row>
    <row r="49" spans="3:6">
      <c r="C49" s="179"/>
      <c r="D49" s="179"/>
      <c r="E49" s="179"/>
      <c r="F49" s="179"/>
    </row>
    <row r="50" spans="3:6">
      <c r="C50" s="179"/>
      <c r="D50" s="179"/>
      <c r="E50" s="179"/>
      <c r="F50" s="179"/>
    </row>
  </sheetData>
  <mergeCells count="3">
    <mergeCell ref="A1:F1"/>
    <mergeCell ref="A2:F2"/>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J51"/>
  <sheetViews>
    <sheetView workbookViewId="0">
      <selection sqref="A1:XFD1048576"/>
    </sheetView>
  </sheetViews>
  <sheetFormatPr defaultRowHeight="15"/>
  <cols>
    <col min="1" max="1" width="9.42578125" customWidth="1"/>
    <col min="2" max="2" width="50.42578125" customWidth="1"/>
    <col min="3" max="3" width="8.5703125" customWidth="1"/>
    <col min="4" max="4" width="5.140625" bestFit="1" customWidth="1"/>
    <col min="5" max="5" width="10.28515625" customWidth="1"/>
    <col min="6" max="6" width="18.85546875" customWidth="1"/>
  </cols>
  <sheetData>
    <row r="1" spans="1:10" ht="15.75">
      <c r="A1" s="292" t="s">
        <v>190</v>
      </c>
      <c r="B1" s="292"/>
      <c r="C1" s="292"/>
      <c r="D1" s="292"/>
      <c r="E1" s="292"/>
      <c r="F1" s="292"/>
    </row>
    <row r="2" spans="1:10" ht="15.75">
      <c r="A2" s="293" t="s">
        <v>48</v>
      </c>
      <c r="B2" s="294"/>
      <c r="C2" s="294"/>
      <c r="D2" s="294"/>
      <c r="E2" s="294"/>
      <c r="F2" s="295"/>
    </row>
    <row r="3" spans="1:10" ht="48.75" customHeight="1">
      <c r="A3" s="296" t="s">
        <v>219</v>
      </c>
      <c r="B3" s="296"/>
      <c r="C3" s="296"/>
      <c r="D3" s="296"/>
      <c r="E3" s="296"/>
      <c r="F3" s="296"/>
    </row>
    <row r="4" spans="1:10">
      <c r="A4" s="196" t="s">
        <v>220</v>
      </c>
      <c r="B4" s="197" t="s">
        <v>221</v>
      </c>
      <c r="C4" s="197" t="s">
        <v>4</v>
      </c>
      <c r="D4" s="197" t="s">
        <v>5</v>
      </c>
      <c r="E4" s="196" t="s">
        <v>222</v>
      </c>
      <c r="F4" s="196" t="s">
        <v>223</v>
      </c>
    </row>
    <row r="5" spans="1:10" s="108" customFormat="1" ht="72">
      <c r="A5" s="198" t="s">
        <v>224</v>
      </c>
      <c r="B5" s="199" t="s">
        <v>193</v>
      </c>
      <c r="C5" s="200">
        <v>47.64</v>
      </c>
      <c r="D5" s="201" t="s">
        <v>8</v>
      </c>
      <c r="E5" s="202">
        <v>151.82</v>
      </c>
      <c r="F5" s="203">
        <f>ROUND((C5*E5),2)</f>
        <v>7232.7</v>
      </c>
    </row>
    <row r="6" spans="1:10" ht="96" customHeight="1">
      <c r="A6" s="204" t="s">
        <v>213</v>
      </c>
      <c r="B6" s="205" t="s">
        <v>214</v>
      </c>
      <c r="C6" s="206">
        <v>4.46</v>
      </c>
      <c r="D6" s="207" t="s">
        <v>8</v>
      </c>
      <c r="E6" s="206">
        <v>347.85</v>
      </c>
      <c r="F6" s="208">
        <f t="shared" ref="F6:F18" si="0">ROUND((C6*E6),2)</f>
        <v>1551.41</v>
      </c>
      <c r="G6" s="150"/>
      <c r="H6" s="150"/>
      <c r="I6" s="150"/>
      <c r="J6" s="150"/>
    </row>
    <row r="7" spans="1:10" s="150" customFormat="1" ht="73.5" customHeight="1">
      <c r="A7" s="209" t="s">
        <v>195</v>
      </c>
      <c r="B7" s="210" t="s">
        <v>15</v>
      </c>
      <c r="C7" s="211">
        <v>7.32</v>
      </c>
      <c r="D7" s="201" t="s">
        <v>8</v>
      </c>
      <c r="E7" s="211">
        <v>1756.4</v>
      </c>
      <c r="F7" s="203">
        <f t="shared" si="0"/>
        <v>12856.85</v>
      </c>
    </row>
    <row r="8" spans="1:10" s="150" customFormat="1" ht="84.75" customHeight="1">
      <c r="A8" s="151" t="s">
        <v>225</v>
      </c>
      <c r="B8" s="212" t="s">
        <v>226</v>
      </c>
      <c r="C8" s="211">
        <v>22.3</v>
      </c>
      <c r="D8" s="201" t="s">
        <v>8</v>
      </c>
      <c r="E8" s="211">
        <v>6082.45</v>
      </c>
      <c r="F8" s="203">
        <f t="shared" si="0"/>
        <v>135638.64000000001</v>
      </c>
    </row>
    <row r="9" spans="1:10" s="150" customFormat="1" ht="81" customHeight="1">
      <c r="A9" s="151" t="s">
        <v>227</v>
      </c>
      <c r="B9" s="152" t="s">
        <v>228</v>
      </c>
      <c r="C9" s="211">
        <v>8.92</v>
      </c>
      <c r="D9" s="201" t="s">
        <v>8</v>
      </c>
      <c r="E9" s="211">
        <v>6308.87</v>
      </c>
      <c r="F9" s="203">
        <f t="shared" si="0"/>
        <v>56275.12</v>
      </c>
    </row>
    <row r="10" spans="1:10" s="150" customFormat="1" ht="96" customHeight="1">
      <c r="A10" s="161">
        <v>6</v>
      </c>
      <c r="B10" s="162" t="s">
        <v>229</v>
      </c>
      <c r="C10" s="213">
        <v>0.99199999999999999</v>
      </c>
      <c r="D10" s="201" t="s">
        <v>160</v>
      </c>
      <c r="E10" s="211">
        <v>83314.02</v>
      </c>
      <c r="F10" s="203">
        <f t="shared" si="0"/>
        <v>82647.509999999995</v>
      </c>
    </row>
    <row r="11" spans="1:10" s="150" customFormat="1">
      <c r="A11" s="161"/>
      <c r="B11" s="162" t="s">
        <v>201</v>
      </c>
      <c r="C11" s="213">
        <v>1.516</v>
      </c>
      <c r="D11" s="201" t="s">
        <v>160</v>
      </c>
      <c r="E11" s="211">
        <v>82096.539999999994</v>
      </c>
      <c r="F11" s="203">
        <f t="shared" si="0"/>
        <v>124458.35</v>
      </c>
    </row>
    <row r="12" spans="1:10" s="150" customFormat="1" ht="47.25" customHeight="1">
      <c r="A12" s="151" t="s">
        <v>230</v>
      </c>
      <c r="B12" s="152" t="s">
        <v>203</v>
      </c>
      <c r="C12" s="211">
        <v>175.65</v>
      </c>
      <c r="D12" s="214" t="s">
        <v>9</v>
      </c>
      <c r="E12" s="211">
        <v>194.5</v>
      </c>
      <c r="F12" s="203">
        <f t="shared" si="0"/>
        <v>34163.93</v>
      </c>
    </row>
    <row r="13" spans="1:10" s="150" customFormat="1" ht="27" customHeight="1">
      <c r="A13" s="215">
        <v>8</v>
      </c>
      <c r="B13" s="216" t="s">
        <v>16</v>
      </c>
      <c r="C13" s="211">
        <v>0</v>
      </c>
      <c r="D13" s="201">
        <v>0</v>
      </c>
      <c r="E13" s="211">
        <v>0</v>
      </c>
      <c r="F13" s="203">
        <f t="shared" si="0"/>
        <v>0</v>
      </c>
    </row>
    <row r="14" spans="1:10" s="150" customFormat="1">
      <c r="A14" s="217" t="s">
        <v>17</v>
      </c>
      <c r="B14" s="218" t="s">
        <v>205</v>
      </c>
      <c r="C14" s="211">
        <v>13.43</v>
      </c>
      <c r="D14" s="211" t="s">
        <v>8</v>
      </c>
      <c r="E14" s="219">
        <f>'[2]RCC DRAIN'!I37</f>
        <v>848.82</v>
      </c>
      <c r="F14" s="203">
        <f t="shared" si="0"/>
        <v>11399.65</v>
      </c>
    </row>
    <row r="15" spans="1:10" s="150" customFormat="1">
      <c r="A15" s="217" t="s">
        <v>18</v>
      </c>
      <c r="B15" s="218" t="s">
        <v>231</v>
      </c>
      <c r="C15" s="211">
        <v>4.46</v>
      </c>
      <c r="D15" s="211" t="s">
        <v>8</v>
      </c>
      <c r="E15" s="219">
        <v>447.06</v>
      </c>
      <c r="F15" s="203">
        <f t="shared" si="0"/>
        <v>1993.89</v>
      </c>
    </row>
    <row r="16" spans="1:10" s="150" customFormat="1">
      <c r="A16" s="217" t="s">
        <v>19</v>
      </c>
      <c r="B16" s="220" t="s">
        <v>207</v>
      </c>
      <c r="C16" s="211">
        <v>26.85</v>
      </c>
      <c r="D16" s="211" t="s">
        <v>8</v>
      </c>
      <c r="E16" s="219">
        <f>'[2]RCC DRAIN'!I39</f>
        <v>447.06</v>
      </c>
      <c r="F16" s="203">
        <f t="shared" si="0"/>
        <v>12003.56</v>
      </c>
    </row>
    <row r="17" spans="1:6" s="150" customFormat="1">
      <c r="A17" s="217" t="s">
        <v>20</v>
      </c>
      <c r="B17" s="220" t="s">
        <v>208</v>
      </c>
      <c r="C17" s="211">
        <v>7.32</v>
      </c>
      <c r="D17" s="211" t="s">
        <v>8</v>
      </c>
      <c r="E17" s="219">
        <f>'[2]RCC DRAIN'!I40</f>
        <v>679.66</v>
      </c>
      <c r="F17" s="203">
        <f t="shared" si="0"/>
        <v>4975.1099999999997</v>
      </c>
    </row>
    <row r="18" spans="1:6" s="150" customFormat="1">
      <c r="A18" s="217" t="s">
        <v>21</v>
      </c>
      <c r="B18" s="220" t="s">
        <v>209</v>
      </c>
      <c r="C18" s="211">
        <v>47.64</v>
      </c>
      <c r="D18" s="211" t="s">
        <v>8</v>
      </c>
      <c r="E18" s="219">
        <f>'[2]RCC DRAIN'!I41</f>
        <v>117.54</v>
      </c>
      <c r="F18" s="203">
        <f t="shared" si="0"/>
        <v>5599.61</v>
      </c>
    </row>
    <row r="19" spans="1:6" s="150" customFormat="1">
      <c r="A19" s="221"/>
      <c r="B19" s="222"/>
      <c r="C19" s="223"/>
      <c r="D19" s="224"/>
      <c r="E19" s="224" t="s">
        <v>38</v>
      </c>
      <c r="F19" s="225">
        <f>SUM(F5:F18)</f>
        <v>490796.32999999996</v>
      </c>
    </row>
    <row r="20" spans="1:6" s="150" customFormat="1">
      <c r="A20" s="226"/>
      <c r="B20" s="227"/>
      <c r="C20" s="224"/>
      <c r="D20" s="223"/>
      <c r="E20" s="224" t="s">
        <v>210</v>
      </c>
      <c r="F20" s="225">
        <f>F19*18/100</f>
        <v>88343.339399999997</v>
      </c>
    </row>
    <row r="21" spans="1:6" s="150" customFormat="1">
      <c r="A21" s="226"/>
      <c r="B21" s="227"/>
      <c r="C21" s="224"/>
      <c r="D21" s="224"/>
      <c r="E21" s="224"/>
      <c r="F21" s="225">
        <f>F19+F20</f>
        <v>579139.66940000001</v>
      </c>
    </row>
    <row r="22" spans="1:6" s="150" customFormat="1">
      <c r="A22" s="226"/>
      <c r="B22" s="227"/>
      <c r="C22" s="228"/>
      <c r="D22" s="224"/>
      <c r="E22" s="224" t="s">
        <v>211</v>
      </c>
      <c r="F22" s="225">
        <f>F21*1/100</f>
        <v>5791.396694</v>
      </c>
    </row>
    <row r="23" spans="1:6" s="150" customFormat="1">
      <c r="A23" s="226"/>
      <c r="B23" s="227"/>
      <c r="C23" s="228"/>
      <c r="D23" s="224"/>
      <c r="E23" s="224" t="s">
        <v>38</v>
      </c>
      <c r="F23" s="229">
        <f>F21+F22</f>
        <v>584931.06609400001</v>
      </c>
    </row>
    <row r="24" spans="1:6" s="150" customFormat="1">
      <c r="C24" s="178"/>
      <c r="D24" s="178"/>
      <c r="E24" s="178"/>
      <c r="F24" s="178"/>
    </row>
    <row r="25" spans="1:6" s="150" customFormat="1">
      <c r="C25" s="178"/>
      <c r="D25" s="178"/>
      <c r="E25" s="178"/>
      <c r="F25" s="178"/>
    </row>
    <row r="26" spans="1:6" s="150" customFormat="1">
      <c r="C26" s="178"/>
      <c r="D26" s="178"/>
      <c r="E26" s="178"/>
      <c r="F26" s="178"/>
    </row>
    <row r="27" spans="1:6" s="150" customFormat="1">
      <c r="C27" s="178"/>
      <c r="D27" s="178"/>
      <c r="E27" s="178"/>
      <c r="F27" s="178"/>
    </row>
    <row r="28" spans="1:6" s="150" customFormat="1">
      <c r="C28" s="178"/>
      <c r="D28" s="178"/>
      <c r="E28" s="178"/>
      <c r="F28" s="178"/>
    </row>
    <row r="29" spans="1:6" s="150" customFormat="1">
      <c r="C29" s="178"/>
      <c r="D29" s="178"/>
      <c r="E29" s="178"/>
      <c r="F29" s="178"/>
    </row>
    <row r="30" spans="1:6" s="150" customFormat="1">
      <c r="C30" s="178"/>
      <c r="D30" s="178"/>
      <c r="E30" s="178"/>
      <c r="F30" s="178"/>
    </row>
    <row r="31" spans="1:6" s="150" customFormat="1">
      <c r="C31" s="178"/>
      <c r="D31" s="178"/>
      <c r="E31" s="178"/>
      <c r="F31" s="178"/>
    </row>
    <row r="32" spans="1:6" s="150" customFormat="1">
      <c r="C32" s="178"/>
      <c r="D32" s="178"/>
      <c r="E32" s="178"/>
      <c r="F32" s="178"/>
    </row>
    <row r="33" spans="1:6" s="150" customFormat="1">
      <c r="C33" s="178"/>
      <c r="D33" s="178"/>
      <c r="E33" s="178"/>
      <c r="F33" s="178"/>
    </row>
    <row r="34" spans="1:6" s="150" customFormat="1">
      <c r="C34" s="178"/>
      <c r="D34" s="178"/>
      <c r="E34" s="178"/>
      <c r="F34" s="178"/>
    </row>
    <row r="35" spans="1:6" s="150" customFormat="1">
      <c r="C35" s="178"/>
      <c r="D35" s="178"/>
      <c r="E35" s="178"/>
      <c r="F35" s="178"/>
    </row>
    <row r="36" spans="1:6" s="150" customFormat="1">
      <c r="C36" s="178"/>
      <c r="D36" s="178"/>
      <c r="E36" s="178"/>
      <c r="F36" s="178"/>
    </row>
    <row r="37" spans="1:6" s="150" customFormat="1">
      <c r="C37" s="178"/>
      <c r="D37" s="178"/>
      <c r="E37" s="178"/>
      <c r="F37" s="178"/>
    </row>
    <row r="38" spans="1:6" s="150" customFormat="1">
      <c r="C38" s="178"/>
      <c r="D38" s="178"/>
      <c r="E38" s="178"/>
      <c r="F38" s="178"/>
    </row>
    <row r="39" spans="1:6" s="150" customFormat="1">
      <c r="C39" s="178"/>
      <c r="D39" s="178"/>
      <c r="E39" s="178"/>
      <c r="F39" s="178"/>
    </row>
    <row r="40" spans="1:6" s="150" customFormat="1">
      <c r="C40" s="178"/>
      <c r="D40" s="178"/>
      <c r="E40" s="178"/>
      <c r="F40" s="178"/>
    </row>
    <row r="41" spans="1:6" s="150" customFormat="1">
      <c r="A41"/>
      <c r="B41"/>
      <c r="C41" s="179"/>
      <c r="D41" s="179"/>
      <c r="E41" s="179"/>
      <c r="F41" s="179"/>
    </row>
    <row r="42" spans="1:6">
      <c r="C42" s="179"/>
      <c r="D42" s="179"/>
      <c r="E42" s="179"/>
      <c r="F42" s="179"/>
    </row>
    <row r="43" spans="1:6">
      <c r="C43" s="179"/>
      <c r="D43" s="179"/>
      <c r="E43" s="179"/>
      <c r="F43" s="179"/>
    </row>
    <row r="44" spans="1:6">
      <c r="C44" s="179"/>
      <c r="D44" s="179"/>
      <c r="E44" s="179"/>
      <c r="F44" s="179"/>
    </row>
    <row r="45" spans="1:6">
      <c r="C45" s="179"/>
      <c r="D45" s="179"/>
      <c r="E45" s="179"/>
      <c r="F45" s="179"/>
    </row>
    <row r="46" spans="1:6">
      <c r="C46" s="179"/>
      <c r="D46" s="179"/>
      <c r="E46" s="179"/>
      <c r="F46" s="179"/>
    </row>
    <row r="47" spans="1:6">
      <c r="C47" s="179"/>
      <c r="D47" s="179"/>
      <c r="E47" s="179"/>
      <c r="F47" s="179"/>
    </row>
    <row r="48" spans="1:6">
      <c r="C48" s="179"/>
      <c r="D48" s="179"/>
      <c r="E48" s="179"/>
      <c r="F48" s="179"/>
    </row>
    <row r="49" spans="3:6">
      <c r="C49" s="179"/>
      <c r="D49" s="179"/>
      <c r="E49" s="179"/>
      <c r="F49" s="179"/>
    </row>
    <row r="50" spans="3:6">
      <c r="C50" s="179"/>
      <c r="D50" s="179"/>
      <c r="E50" s="179"/>
      <c r="F50" s="179"/>
    </row>
    <row r="51" spans="3:6">
      <c r="C51" s="179"/>
      <c r="D51" s="179"/>
      <c r="E51" s="179"/>
      <c r="F51" s="179"/>
    </row>
  </sheetData>
  <mergeCells count="3">
    <mergeCell ref="A1:F1"/>
    <mergeCell ref="A2:F2"/>
    <mergeCell ref="A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8"/>
  <sheetViews>
    <sheetView workbookViewId="0">
      <selection activeCell="C6" sqref="C6"/>
    </sheetView>
  </sheetViews>
  <sheetFormatPr defaultRowHeight="15"/>
  <cols>
    <col min="1" max="1" width="7.7109375" customWidth="1"/>
    <col min="2" max="2" width="50.42578125" customWidth="1"/>
    <col min="3" max="3" width="8.5703125" customWidth="1"/>
    <col min="4" max="4" width="5.140625" bestFit="1" customWidth="1"/>
    <col min="5" max="5" width="10.28515625" customWidth="1"/>
    <col min="6" max="6" width="18.85546875" customWidth="1"/>
  </cols>
  <sheetData>
    <row r="1" spans="1:6" ht="34.5" customHeight="1">
      <c r="A1" s="292" t="s">
        <v>190</v>
      </c>
      <c r="B1" s="292"/>
      <c r="C1" s="292"/>
      <c r="D1" s="292"/>
      <c r="E1" s="292"/>
      <c r="F1" s="292"/>
    </row>
    <row r="2" spans="1:6" ht="18.75" customHeight="1">
      <c r="A2" s="293" t="s">
        <v>48</v>
      </c>
      <c r="B2" s="294"/>
      <c r="C2" s="294"/>
      <c r="D2" s="294"/>
      <c r="E2" s="294"/>
      <c r="F2" s="295"/>
    </row>
    <row r="3" spans="1:6" ht="38.25" customHeight="1">
      <c r="A3" s="289" t="s">
        <v>232</v>
      </c>
      <c r="B3" s="290"/>
      <c r="C3" s="290"/>
      <c r="D3" s="290"/>
      <c r="E3" s="290"/>
      <c r="F3" s="291"/>
    </row>
    <row r="4" spans="1:6" ht="21" customHeight="1">
      <c r="A4" s="196" t="s">
        <v>220</v>
      </c>
      <c r="B4" s="197" t="s">
        <v>221</v>
      </c>
      <c r="C4" s="197" t="s">
        <v>4</v>
      </c>
      <c r="D4" s="197" t="s">
        <v>5</v>
      </c>
      <c r="E4" s="196" t="s">
        <v>222</v>
      </c>
      <c r="F4" s="196" t="s">
        <v>223</v>
      </c>
    </row>
    <row r="5" spans="1:6" s="108" customFormat="1" ht="96.75" customHeight="1">
      <c r="A5" s="198" t="s">
        <v>224</v>
      </c>
      <c r="B5" s="199" t="s">
        <v>193</v>
      </c>
      <c r="C5" s="200">
        <v>38.229999999999997</v>
      </c>
      <c r="D5" s="201" t="s">
        <v>8</v>
      </c>
      <c r="E5" s="202">
        <v>151.82</v>
      </c>
      <c r="F5" s="203">
        <f>C5*E5</f>
        <v>5804.0785999999989</v>
      </c>
    </row>
    <row r="6" spans="1:6" ht="98.25" customHeight="1">
      <c r="A6" s="204" t="s">
        <v>213</v>
      </c>
      <c r="B6" s="205" t="s">
        <v>214</v>
      </c>
      <c r="C6" s="211">
        <v>12.74</v>
      </c>
      <c r="D6" s="201" t="s">
        <v>8</v>
      </c>
      <c r="E6" s="211">
        <v>347.85</v>
      </c>
      <c r="F6" s="203">
        <f t="shared" ref="F6:F15" si="0">C6*E6</f>
        <v>4431.6090000000004</v>
      </c>
    </row>
    <row r="7" spans="1:6" s="150" customFormat="1" ht="77.25" customHeight="1">
      <c r="A7" s="209" t="s">
        <v>195</v>
      </c>
      <c r="B7" s="210" t="s">
        <v>15</v>
      </c>
      <c r="C7" s="211">
        <v>20.9</v>
      </c>
      <c r="D7" s="201" t="s">
        <v>8</v>
      </c>
      <c r="E7" s="211">
        <v>1756.4</v>
      </c>
      <c r="F7" s="203">
        <f t="shared" si="0"/>
        <v>36708.76</v>
      </c>
    </row>
    <row r="8" spans="1:6" s="150" customFormat="1" ht="74.25" customHeight="1">
      <c r="A8" s="230" t="s">
        <v>233</v>
      </c>
      <c r="B8" s="231" t="s">
        <v>234</v>
      </c>
      <c r="C8" s="211">
        <v>25.49</v>
      </c>
      <c r="D8" s="201" t="s">
        <v>8</v>
      </c>
      <c r="E8" s="211">
        <v>4961.7299999999996</v>
      </c>
      <c r="F8" s="203">
        <f t="shared" si="0"/>
        <v>126474.49769999998</v>
      </c>
    </row>
    <row r="9" spans="1:6" s="150" customFormat="1" ht="71.25" customHeight="1">
      <c r="A9" s="209" t="s">
        <v>235</v>
      </c>
      <c r="B9" s="210" t="s">
        <v>203</v>
      </c>
      <c r="C9" s="232">
        <v>13.94</v>
      </c>
      <c r="D9" s="233" t="s">
        <v>9</v>
      </c>
      <c r="E9" s="219">
        <v>194.5</v>
      </c>
      <c r="F9" s="203">
        <f t="shared" si="0"/>
        <v>2711.33</v>
      </c>
    </row>
    <row r="10" spans="1:6" s="150" customFormat="1" ht="36.75" customHeight="1">
      <c r="A10" s="215">
        <v>6</v>
      </c>
      <c r="B10" s="216" t="s">
        <v>16</v>
      </c>
      <c r="C10" s="234">
        <v>0</v>
      </c>
      <c r="D10" s="234"/>
      <c r="E10" s="234">
        <v>0</v>
      </c>
      <c r="F10" s="203">
        <f t="shared" si="0"/>
        <v>0</v>
      </c>
    </row>
    <row r="11" spans="1:6" s="150" customFormat="1" ht="31.5" customHeight="1">
      <c r="A11" s="217" t="s">
        <v>17</v>
      </c>
      <c r="B11" s="218" t="s">
        <v>205</v>
      </c>
      <c r="C11" s="211">
        <v>10.96</v>
      </c>
      <c r="D11" s="211" t="s">
        <v>8</v>
      </c>
      <c r="E11" s="219">
        <f>'[2]RCC DRAIN'!I37</f>
        <v>848.82</v>
      </c>
      <c r="F11" s="203">
        <f t="shared" si="0"/>
        <v>9303.0672000000013</v>
      </c>
    </row>
    <row r="12" spans="1:6" s="150" customFormat="1" ht="30" customHeight="1">
      <c r="A12" s="217" t="s">
        <v>18</v>
      </c>
      <c r="B12" s="218" t="s">
        <v>231</v>
      </c>
      <c r="C12" s="211">
        <v>12.74</v>
      </c>
      <c r="D12" s="211" t="s">
        <v>8</v>
      </c>
      <c r="E12" s="219">
        <v>447.06</v>
      </c>
      <c r="F12" s="203">
        <f t="shared" si="0"/>
        <v>5695.5443999999998</v>
      </c>
    </row>
    <row r="13" spans="1:6" s="150" customFormat="1" ht="27.75" customHeight="1">
      <c r="A13" s="217" t="s">
        <v>19</v>
      </c>
      <c r="B13" s="220" t="s">
        <v>207</v>
      </c>
      <c r="C13" s="211">
        <v>21.92</v>
      </c>
      <c r="D13" s="211" t="s">
        <v>8</v>
      </c>
      <c r="E13" s="219">
        <f>'[2]RCC DRAIN'!I39</f>
        <v>447.06</v>
      </c>
      <c r="F13" s="203">
        <f t="shared" si="0"/>
        <v>9799.5552000000007</v>
      </c>
    </row>
    <row r="14" spans="1:6" s="150" customFormat="1" ht="30" customHeight="1">
      <c r="A14" s="217" t="s">
        <v>20</v>
      </c>
      <c r="B14" s="220" t="s">
        <v>208</v>
      </c>
      <c r="C14" s="211">
        <v>20.9</v>
      </c>
      <c r="D14" s="211" t="s">
        <v>8</v>
      </c>
      <c r="E14" s="219">
        <f>'[2]RCC DRAIN'!I40</f>
        <v>679.66</v>
      </c>
      <c r="F14" s="203">
        <f t="shared" si="0"/>
        <v>14204.893999999998</v>
      </c>
    </row>
    <row r="15" spans="1:6" s="150" customFormat="1" ht="29.25" customHeight="1">
      <c r="A15" s="217" t="s">
        <v>21</v>
      </c>
      <c r="B15" s="220" t="s">
        <v>209</v>
      </c>
      <c r="C15" s="211">
        <v>38.229999999999997</v>
      </c>
      <c r="D15" s="211" t="s">
        <v>8</v>
      </c>
      <c r="E15" s="219">
        <f>'[2]RCC DRAIN'!I41</f>
        <v>117.54</v>
      </c>
      <c r="F15" s="203">
        <f t="shared" si="0"/>
        <v>4493.5541999999996</v>
      </c>
    </row>
    <row r="16" spans="1:6" s="150" customFormat="1" ht="28.5" customHeight="1">
      <c r="A16" s="221"/>
      <c r="B16" s="222"/>
      <c r="C16" s="223"/>
      <c r="D16" s="224"/>
      <c r="E16" s="224" t="s">
        <v>38</v>
      </c>
      <c r="F16" s="225">
        <f>SUM(F5:F15)</f>
        <v>219626.89029999997</v>
      </c>
    </row>
    <row r="17" spans="1:6" s="150" customFormat="1">
      <c r="A17" s="226"/>
      <c r="B17" s="227"/>
      <c r="C17" s="224"/>
      <c r="D17" s="223"/>
      <c r="E17" s="224" t="s">
        <v>210</v>
      </c>
      <c r="F17" s="225">
        <f>F16*18/100</f>
        <v>39532.840253999995</v>
      </c>
    </row>
    <row r="18" spans="1:6" s="150" customFormat="1">
      <c r="A18" s="226"/>
      <c r="B18" s="227"/>
      <c r="C18" s="224"/>
      <c r="D18" s="224"/>
      <c r="E18" s="224"/>
      <c r="F18" s="225">
        <f>F16+F17</f>
        <v>259159.73055399995</v>
      </c>
    </row>
    <row r="19" spans="1:6" s="150" customFormat="1">
      <c r="A19" s="226"/>
      <c r="B19" s="227"/>
      <c r="C19" s="228"/>
      <c r="D19" s="224"/>
      <c r="E19" s="224" t="s">
        <v>211</v>
      </c>
      <c r="F19" s="225">
        <f>F18*1/100</f>
        <v>2591.5973055399995</v>
      </c>
    </row>
    <row r="20" spans="1:6" s="150" customFormat="1">
      <c r="A20" s="226"/>
      <c r="B20" s="227"/>
      <c r="C20" s="228"/>
      <c r="D20" s="224"/>
      <c r="E20" s="224" t="s">
        <v>38</v>
      </c>
      <c r="F20" s="229">
        <f>F18+F19</f>
        <v>261751.32785953995</v>
      </c>
    </row>
    <row r="21" spans="1:6" s="150" customFormat="1">
      <c r="C21" s="178"/>
      <c r="D21" s="178"/>
      <c r="E21" s="178"/>
      <c r="F21" s="178"/>
    </row>
    <row r="22" spans="1:6" s="150" customFormat="1">
      <c r="C22" s="178"/>
      <c r="D22" s="178"/>
      <c r="E22" s="178"/>
      <c r="F22" s="178"/>
    </row>
    <row r="23" spans="1:6" s="150" customFormat="1">
      <c r="C23" s="178"/>
      <c r="D23" s="178"/>
      <c r="E23" s="178"/>
      <c r="F23" s="178"/>
    </row>
    <row r="24" spans="1:6" s="150" customFormat="1">
      <c r="C24" s="178"/>
      <c r="D24" s="178"/>
      <c r="E24" s="178"/>
      <c r="F24" s="178"/>
    </row>
    <row r="25" spans="1:6" s="150" customFormat="1">
      <c r="C25" s="178"/>
      <c r="D25" s="178"/>
      <c r="E25" s="178"/>
      <c r="F25" s="178"/>
    </row>
    <row r="26" spans="1:6" s="150" customFormat="1">
      <c r="C26" s="178"/>
      <c r="D26" s="178"/>
      <c r="E26" s="178"/>
      <c r="F26" s="178"/>
    </row>
    <row r="27" spans="1:6" s="150" customFormat="1">
      <c r="C27" s="178"/>
      <c r="D27" s="178"/>
      <c r="E27" s="178"/>
      <c r="F27" s="178"/>
    </row>
    <row r="28" spans="1:6" s="150" customFormat="1">
      <c r="C28" s="178"/>
      <c r="D28" s="178"/>
      <c r="E28" s="178"/>
      <c r="F28" s="178"/>
    </row>
    <row r="29" spans="1:6" s="150" customFormat="1">
      <c r="C29" s="178"/>
      <c r="D29" s="178"/>
      <c r="E29" s="178"/>
      <c r="F29" s="178"/>
    </row>
    <row r="30" spans="1:6" s="150" customFormat="1">
      <c r="C30" s="178"/>
      <c r="D30" s="178"/>
      <c r="E30" s="178"/>
      <c r="F30" s="178"/>
    </row>
    <row r="31" spans="1:6" s="150" customFormat="1">
      <c r="C31" s="178"/>
      <c r="D31" s="178"/>
      <c r="E31" s="178"/>
      <c r="F31" s="178"/>
    </row>
    <row r="32" spans="1:6" s="150" customFormat="1">
      <c r="C32" s="178"/>
      <c r="D32" s="178"/>
      <c r="E32" s="178"/>
      <c r="F32" s="178"/>
    </row>
    <row r="33" spans="1:6" s="150" customFormat="1">
      <c r="C33" s="178"/>
      <c r="D33" s="178"/>
      <c r="E33" s="178"/>
      <c r="F33" s="178"/>
    </row>
    <row r="34" spans="1:6" s="150" customFormat="1">
      <c r="C34" s="178"/>
      <c r="D34" s="178"/>
      <c r="E34" s="178"/>
      <c r="F34" s="178"/>
    </row>
    <row r="35" spans="1:6" s="150" customFormat="1">
      <c r="C35" s="178"/>
      <c r="D35" s="178"/>
      <c r="E35" s="178"/>
      <c r="F35" s="178"/>
    </row>
    <row r="36" spans="1:6" s="150" customFormat="1">
      <c r="C36" s="178"/>
      <c r="D36" s="178"/>
      <c r="E36" s="178"/>
      <c r="F36" s="178"/>
    </row>
    <row r="37" spans="1:6" s="150" customFormat="1">
      <c r="C37" s="178"/>
      <c r="D37" s="178"/>
      <c r="E37" s="178"/>
      <c r="F37" s="178"/>
    </row>
    <row r="38" spans="1:6" s="150" customFormat="1">
      <c r="A38"/>
      <c r="B38"/>
      <c r="C38" s="179"/>
      <c r="D38" s="179"/>
      <c r="E38" s="179"/>
      <c r="F38" s="179"/>
    </row>
    <row r="39" spans="1:6">
      <c r="C39" s="179"/>
      <c r="D39" s="179"/>
      <c r="E39" s="179"/>
      <c r="F39" s="179"/>
    </row>
    <row r="40" spans="1:6">
      <c r="C40" s="179"/>
      <c r="D40" s="179"/>
      <c r="E40" s="179"/>
      <c r="F40" s="179"/>
    </row>
    <row r="41" spans="1:6">
      <c r="C41" s="179"/>
      <c r="D41" s="179"/>
      <c r="E41" s="179"/>
      <c r="F41" s="179"/>
    </row>
    <row r="42" spans="1:6">
      <c r="C42" s="179"/>
      <c r="D42" s="179"/>
      <c r="E42" s="179"/>
      <c r="F42" s="179"/>
    </row>
    <row r="43" spans="1:6">
      <c r="C43" s="179"/>
      <c r="D43" s="179"/>
      <c r="E43" s="179"/>
      <c r="F43" s="179"/>
    </row>
    <row r="44" spans="1:6">
      <c r="C44" s="179"/>
      <c r="D44" s="179"/>
      <c r="E44" s="179"/>
      <c r="F44" s="179"/>
    </row>
    <row r="45" spans="1:6">
      <c r="C45" s="179"/>
      <c r="D45" s="179"/>
      <c r="E45" s="179"/>
      <c r="F45" s="179"/>
    </row>
    <row r="46" spans="1:6">
      <c r="C46" s="179"/>
      <c r="D46" s="179"/>
      <c r="E46" s="179"/>
      <c r="F46" s="179"/>
    </row>
    <row r="47" spans="1:6">
      <c r="C47" s="179"/>
      <c r="D47" s="179"/>
      <c r="E47" s="179"/>
      <c r="F47" s="179"/>
    </row>
    <row r="48" spans="1:6">
      <c r="C48" s="179"/>
      <c r="D48" s="179"/>
      <c r="E48" s="179"/>
      <c r="F48" s="179"/>
    </row>
  </sheetData>
  <mergeCells count="3">
    <mergeCell ref="A1:F1"/>
    <mergeCell ref="A2:F2"/>
    <mergeCell ref="A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46"/>
  <sheetViews>
    <sheetView workbookViewId="0">
      <selection activeCell="C6" sqref="C6"/>
    </sheetView>
  </sheetViews>
  <sheetFormatPr defaultRowHeight="15"/>
  <cols>
    <col min="1" max="1" width="8.85546875" customWidth="1"/>
    <col min="2" max="2" width="50.42578125" customWidth="1"/>
    <col min="3" max="3" width="8.5703125" customWidth="1"/>
    <col min="4" max="4" width="5.140625" bestFit="1" customWidth="1"/>
    <col min="5" max="5" width="10.28515625" customWidth="1"/>
    <col min="6" max="6" width="16.5703125" customWidth="1"/>
  </cols>
  <sheetData>
    <row r="1" spans="1:6" ht="15.75">
      <c r="A1" s="292" t="s">
        <v>190</v>
      </c>
      <c r="B1" s="292"/>
      <c r="C1" s="292"/>
      <c r="D1" s="292"/>
      <c r="E1" s="292"/>
      <c r="F1" s="292"/>
    </row>
    <row r="2" spans="1:6" ht="15.75">
      <c r="A2" s="293" t="s">
        <v>48</v>
      </c>
      <c r="B2" s="294"/>
      <c r="C2" s="294"/>
      <c r="D2" s="294"/>
      <c r="E2" s="294"/>
      <c r="F2" s="295"/>
    </row>
    <row r="3" spans="1:6" ht="18.75" customHeight="1">
      <c r="A3" s="297" t="s">
        <v>236</v>
      </c>
      <c r="B3" s="298"/>
      <c r="C3" s="298"/>
      <c r="D3" s="298"/>
      <c r="E3" s="298"/>
      <c r="F3" s="299"/>
    </row>
    <row r="4" spans="1:6">
      <c r="A4" s="300"/>
      <c r="B4" s="301"/>
      <c r="C4" s="301"/>
      <c r="D4" s="301"/>
      <c r="E4" s="301"/>
      <c r="F4" s="302"/>
    </row>
    <row r="5" spans="1:6" s="108" customFormat="1" ht="72">
      <c r="A5" s="198" t="s">
        <v>224</v>
      </c>
      <c r="B5" s="199" t="s">
        <v>193</v>
      </c>
      <c r="C5" s="200">
        <v>121.07</v>
      </c>
      <c r="D5" s="201" t="s">
        <v>8</v>
      </c>
      <c r="E5" s="202">
        <v>151.82</v>
      </c>
      <c r="F5" s="203">
        <f>C5*E5</f>
        <v>18380.847399999999</v>
      </c>
    </row>
    <row r="6" spans="1:6" ht="76.5">
      <c r="A6" s="204" t="s">
        <v>213</v>
      </c>
      <c r="B6" s="205" t="s">
        <v>214</v>
      </c>
      <c r="C6" s="211">
        <v>60.53</v>
      </c>
      <c r="D6" s="201" t="s">
        <v>8</v>
      </c>
      <c r="E6" s="211">
        <v>347.85</v>
      </c>
      <c r="F6" s="203">
        <f t="shared" ref="F6:F13" si="0">C6*E6</f>
        <v>21055.360500000003</v>
      </c>
    </row>
    <row r="7" spans="1:6" s="150" customFormat="1" ht="38.25">
      <c r="A7" s="165" t="s">
        <v>237</v>
      </c>
      <c r="B7" s="235" t="s">
        <v>238</v>
      </c>
      <c r="C7" s="211">
        <v>794.61</v>
      </c>
      <c r="D7" s="233" t="s">
        <v>9</v>
      </c>
      <c r="E7" s="211">
        <v>798</v>
      </c>
      <c r="F7" s="203">
        <f t="shared" si="0"/>
        <v>634098.78</v>
      </c>
    </row>
    <row r="8" spans="1:6" s="150" customFormat="1" ht="48">
      <c r="A8" s="230" t="s">
        <v>233</v>
      </c>
      <c r="B8" s="231" t="s">
        <v>234</v>
      </c>
      <c r="C8" s="211">
        <v>6.05</v>
      </c>
      <c r="D8" s="201" t="s">
        <v>8</v>
      </c>
      <c r="E8" s="211">
        <v>4961.7299999999996</v>
      </c>
      <c r="F8" s="203">
        <f t="shared" si="0"/>
        <v>30018.466499999995</v>
      </c>
    </row>
    <row r="9" spans="1:6" s="150" customFormat="1">
      <c r="A9" s="215">
        <v>5</v>
      </c>
      <c r="B9" s="216" t="s">
        <v>16</v>
      </c>
      <c r="C9" s="234">
        <v>0</v>
      </c>
      <c r="D9" s="234"/>
      <c r="E9" s="234">
        <v>0</v>
      </c>
      <c r="F9" s="203">
        <f t="shared" si="0"/>
        <v>0</v>
      </c>
    </row>
    <row r="10" spans="1:6" s="150" customFormat="1">
      <c r="A10" s="217" t="s">
        <v>17</v>
      </c>
      <c r="B10" s="218" t="s">
        <v>205</v>
      </c>
      <c r="C10" s="211">
        <v>2.6</v>
      </c>
      <c r="D10" s="211" t="s">
        <v>8</v>
      </c>
      <c r="E10" s="219">
        <f>'[2]RCC DRAIN'!I37</f>
        <v>848.82</v>
      </c>
      <c r="F10" s="203">
        <f t="shared" si="0"/>
        <v>2206.9320000000002</v>
      </c>
    </row>
    <row r="11" spans="1:6" s="150" customFormat="1">
      <c r="A11" s="217" t="s">
        <v>18</v>
      </c>
      <c r="B11" s="218" t="s">
        <v>231</v>
      </c>
      <c r="C11" s="211">
        <v>60.53</v>
      </c>
      <c r="D11" s="211" t="s">
        <v>8</v>
      </c>
      <c r="E11" s="219">
        <v>447.06</v>
      </c>
      <c r="F11" s="203">
        <f t="shared" si="0"/>
        <v>27060.541799999999</v>
      </c>
    </row>
    <row r="12" spans="1:6" s="150" customFormat="1">
      <c r="A12" s="217" t="s">
        <v>19</v>
      </c>
      <c r="B12" s="220" t="s">
        <v>207</v>
      </c>
      <c r="C12" s="211">
        <v>5.2</v>
      </c>
      <c r="D12" s="211" t="s">
        <v>8</v>
      </c>
      <c r="E12" s="219">
        <f>'[2]RCC DRAIN'!I39</f>
        <v>447.06</v>
      </c>
      <c r="F12" s="203">
        <f t="shared" si="0"/>
        <v>2324.712</v>
      </c>
    </row>
    <row r="13" spans="1:6" s="150" customFormat="1">
      <c r="A13" s="217" t="s">
        <v>20</v>
      </c>
      <c r="B13" s="220" t="s">
        <v>209</v>
      </c>
      <c r="C13" s="211">
        <v>121.07</v>
      </c>
      <c r="D13" s="211" t="s">
        <v>8</v>
      </c>
      <c r="E13" s="219">
        <f>'[2]RCC DRAIN'!I41</f>
        <v>117.54</v>
      </c>
      <c r="F13" s="203">
        <f t="shared" si="0"/>
        <v>14230.567800000001</v>
      </c>
    </row>
    <row r="14" spans="1:6" s="150" customFormat="1">
      <c r="A14" s="221"/>
      <c r="B14" s="222"/>
      <c r="C14" s="223"/>
      <c r="D14" s="224"/>
      <c r="E14" s="224" t="s">
        <v>38</v>
      </c>
      <c r="F14" s="225">
        <f>SUM(F5:F13)</f>
        <v>749376.2080000001</v>
      </c>
    </row>
    <row r="15" spans="1:6" s="150" customFormat="1">
      <c r="A15" s="226"/>
      <c r="B15" s="227"/>
      <c r="C15" s="224"/>
      <c r="D15" s="223"/>
      <c r="E15" s="224" t="s">
        <v>210</v>
      </c>
      <c r="F15" s="225">
        <f>F14*18/100</f>
        <v>134887.71744000004</v>
      </c>
    </row>
    <row r="16" spans="1:6" s="150" customFormat="1">
      <c r="A16" s="226"/>
      <c r="B16" s="227"/>
      <c r="C16" s="224"/>
      <c r="D16" s="224"/>
      <c r="E16" s="224"/>
      <c r="F16" s="225">
        <f>F14+F15</f>
        <v>884263.92544000014</v>
      </c>
    </row>
    <row r="17" spans="1:6" s="150" customFormat="1">
      <c r="A17" s="226"/>
      <c r="B17" s="227"/>
      <c r="C17" s="228"/>
      <c r="D17" s="224"/>
      <c r="E17" s="224" t="s">
        <v>211</v>
      </c>
      <c r="F17" s="225">
        <f>F16*1/100</f>
        <v>8842.6392544000009</v>
      </c>
    </row>
    <row r="18" spans="1:6" s="150" customFormat="1">
      <c r="A18" s="226"/>
      <c r="B18" s="227"/>
      <c r="C18" s="228"/>
      <c r="D18" s="224"/>
      <c r="E18" s="224" t="s">
        <v>38</v>
      </c>
      <c r="F18" s="229">
        <f>F16+F17</f>
        <v>893106.56469440018</v>
      </c>
    </row>
    <row r="19" spans="1:6" s="150" customFormat="1">
      <c r="C19" s="178"/>
      <c r="D19" s="178"/>
      <c r="E19" s="178"/>
      <c r="F19" s="178"/>
    </row>
    <row r="20" spans="1:6" s="150" customFormat="1">
      <c r="C20" s="178"/>
      <c r="D20" s="178"/>
      <c r="E20" s="178"/>
      <c r="F20" s="178"/>
    </row>
    <row r="21" spans="1:6" s="150" customFormat="1">
      <c r="C21" s="178"/>
      <c r="D21" s="178"/>
      <c r="E21" s="178"/>
      <c r="F21" s="178"/>
    </row>
    <row r="22" spans="1:6" s="150" customFormat="1">
      <c r="C22" s="178"/>
      <c r="D22" s="178"/>
      <c r="E22" s="178"/>
      <c r="F22" s="178"/>
    </row>
    <row r="23" spans="1:6" s="150" customFormat="1">
      <c r="C23" s="178"/>
      <c r="D23" s="178"/>
      <c r="E23" s="178"/>
      <c r="F23" s="178"/>
    </row>
    <row r="24" spans="1:6" s="150" customFormat="1">
      <c r="C24" s="178"/>
      <c r="D24" s="178"/>
      <c r="E24" s="178"/>
      <c r="F24" s="178"/>
    </row>
    <row r="25" spans="1:6" s="150" customFormat="1">
      <c r="C25" s="178"/>
      <c r="D25" s="178"/>
      <c r="E25" s="178"/>
      <c r="F25" s="178"/>
    </row>
    <row r="26" spans="1:6" s="150" customFormat="1">
      <c r="C26" s="178"/>
      <c r="D26" s="178"/>
      <c r="E26" s="178"/>
      <c r="F26" s="178"/>
    </row>
    <row r="27" spans="1:6" s="150" customFormat="1">
      <c r="C27" s="178"/>
      <c r="D27" s="178"/>
      <c r="E27" s="178"/>
      <c r="F27" s="178"/>
    </row>
    <row r="28" spans="1:6" s="150" customFormat="1">
      <c r="C28" s="178"/>
      <c r="D28" s="178"/>
      <c r="E28" s="178"/>
      <c r="F28" s="178"/>
    </row>
    <row r="29" spans="1:6" s="150" customFormat="1">
      <c r="C29" s="178"/>
      <c r="D29" s="178"/>
      <c r="E29" s="178"/>
      <c r="F29" s="178"/>
    </row>
    <row r="30" spans="1:6" s="150" customFormat="1">
      <c r="C30" s="178"/>
      <c r="D30" s="178"/>
      <c r="E30" s="178"/>
      <c r="F30" s="178"/>
    </row>
    <row r="31" spans="1:6" s="150" customFormat="1">
      <c r="C31" s="178"/>
      <c r="D31" s="178"/>
      <c r="E31" s="178"/>
      <c r="F31" s="178"/>
    </row>
    <row r="32" spans="1:6" s="150" customFormat="1">
      <c r="C32" s="178"/>
      <c r="D32" s="178"/>
      <c r="E32" s="178"/>
      <c r="F32" s="178"/>
    </row>
    <row r="33" spans="1:6" s="150" customFormat="1">
      <c r="C33" s="178"/>
      <c r="D33" s="178"/>
      <c r="E33" s="178"/>
      <c r="F33" s="178"/>
    </row>
    <row r="34" spans="1:6" s="150" customFormat="1">
      <c r="C34" s="178"/>
      <c r="D34" s="178"/>
      <c r="E34" s="178"/>
      <c r="F34" s="178"/>
    </row>
    <row r="35" spans="1:6" s="150" customFormat="1">
      <c r="C35" s="178"/>
      <c r="D35" s="178"/>
      <c r="E35" s="178"/>
      <c r="F35" s="178"/>
    </row>
    <row r="36" spans="1:6" s="150" customFormat="1">
      <c r="A36"/>
      <c r="B36"/>
      <c r="C36" s="179"/>
      <c r="D36" s="179"/>
      <c r="E36" s="179"/>
      <c r="F36" s="179"/>
    </row>
    <row r="37" spans="1:6">
      <c r="C37" s="179"/>
      <c r="D37" s="179"/>
      <c r="E37" s="179"/>
      <c r="F37" s="179"/>
    </row>
    <row r="38" spans="1:6">
      <c r="C38" s="179"/>
      <c r="D38" s="179"/>
      <c r="E38" s="179"/>
      <c r="F38" s="179"/>
    </row>
    <row r="39" spans="1:6">
      <c r="C39" s="179"/>
      <c r="D39" s="179"/>
      <c r="E39" s="179"/>
      <c r="F39" s="179"/>
    </row>
    <row r="40" spans="1:6">
      <c r="C40" s="179"/>
      <c r="D40" s="179"/>
      <c r="E40" s="179"/>
      <c r="F40" s="179"/>
    </row>
    <row r="41" spans="1:6">
      <c r="C41" s="179"/>
      <c r="D41" s="179"/>
      <c r="E41" s="179"/>
      <c r="F41" s="179"/>
    </row>
    <row r="42" spans="1:6">
      <c r="C42" s="179"/>
      <c r="D42" s="179"/>
      <c r="E42" s="179"/>
      <c r="F42" s="179"/>
    </row>
    <row r="43" spans="1:6">
      <c r="C43" s="179"/>
      <c r="D43" s="179"/>
      <c r="E43" s="179"/>
      <c r="F43" s="179"/>
    </row>
    <row r="44" spans="1:6">
      <c r="C44" s="179"/>
      <c r="D44" s="179"/>
      <c r="E44" s="179"/>
      <c r="F44" s="179"/>
    </row>
    <row r="45" spans="1:6">
      <c r="C45" s="179"/>
      <c r="D45" s="179"/>
      <c r="E45" s="179"/>
      <c r="F45" s="179"/>
    </row>
    <row r="46" spans="1:6">
      <c r="C46" s="179"/>
      <c r="D46" s="179"/>
      <c r="E46" s="179"/>
      <c r="F46" s="179"/>
    </row>
  </sheetData>
  <mergeCells count="3">
    <mergeCell ref="A1:F1"/>
    <mergeCell ref="A2:F2"/>
    <mergeCell ref="A3:F4"/>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G52"/>
  <sheetViews>
    <sheetView workbookViewId="0">
      <selection activeCell="D6" sqref="D6"/>
    </sheetView>
  </sheetViews>
  <sheetFormatPr defaultRowHeight="15"/>
  <cols>
    <col min="1" max="1" width="7.7109375" customWidth="1"/>
    <col min="2" max="2" width="50.42578125" customWidth="1"/>
    <col min="3" max="3" width="8.5703125" customWidth="1"/>
    <col min="4" max="4" width="5.140625" bestFit="1" customWidth="1"/>
    <col min="5" max="5" width="10.28515625" customWidth="1"/>
    <col min="6" max="6" width="18.85546875" customWidth="1"/>
  </cols>
  <sheetData>
    <row r="1" spans="1:7" ht="15.75" customHeight="1">
      <c r="A1" s="285" t="s">
        <v>190</v>
      </c>
      <c r="B1" s="285"/>
      <c r="C1" s="285"/>
      <c r="D1" s="285"/>
      <c r="E1" s="285"/>
      <c r="F1" s="285"/>
    </row>
    <row r="2" spans="1:7" ht="12.75" customHeight="1">
      <c r="A2" s="286" t="s">
        <v>48</v>
      </c>
      <c r="B2" s="287"/>
      <c r="C2" s="287"/>
      <c r="D2" s="287"/>
      <c r="E2" s="287"/>
      <c r="F2" s="288"/>
    </row>
    <row r="3" spans="1:7" ht="28.5" customHeight="1">
      <c r="A3" s="303" t="s">
        <v>239</v>
      </c>
      <c r="B3" s="304"/>
      <c r="C3" s="304"/>
      <c r="D3" s="304"/>
      <c r="E3" s="304"/>
      <c r="F3" s="305"/>
    </row>
    <row r="4" spans="1:7" ht="14.25" customHeight="1">
      <c r="A4" s="196" t="s">
        <v>220</v>
      </c>
      <c r="B4" s="197" t="s">
        <v>221</v>
      </c>
      <c r="C4" s="197" t="s">
        <v>4</v>
      </c>
      <c r="D4" s="197" t="s">
        <v>5</v>
      </c>
      <c r="E4" s="196" t="s">
        <v>222</v>
      </c>
      <c r="F4" s="196" t="s">
        <v>223</v>
      </c>
      <c r="G4" s="236"/>
    </row>
    <row r="5" spans="1:7" s="108" customFormat="1" ht="78.75">
      <c r="A5" s="151" t="s">
        <v>224</v>
      </c>
      <c r="B5" s="184" t="s">
        <v>193</v>
      </c>
      <c r="C5" s="153">
        <f>28.67+83.93</f>
        <v>112.60000000000001</v>
      </c>
      <c r="D5" s="155" t="s">
        <v>8</v>
      </c>
      <c r="E5" s="155">
        <v>151.82</v>
      </c>
      <c r="F5" s="156">
        <f>C5*E5</f>
        <v>17094.932000000001</v>
      </c>
      <c r="G5" s="237"/>
    </row>
    <row r="6" spans="1:7" ht="67.5">
      <c r="A6" s="185" t="s">
        <v>213</v>
      </c>
      <c r="B6" s="186" t="s">
        <v>214</v>
      </c>
      <c r="C6" s="174">
        <f>9.56+5.72</f>
        <v>15.280000000000001</v>
      </c>
      <c r="D6" s="155" t="s">
        <v>8</v>
      </c>
      <c r="E6" s="174">
        <v>347.85</v>
      </c>
      <c r="F6" s="156">
        <f t="shared" ref="F6:F19" si="0">C6*E6</f>
        <v>5315.148000000001</v>
      </c>
      <c r="G6" s="236"/>
    </row>
    <row r="7" spans="1:7" s="150" customFormat="1" ht="48" customHeight="1">
      <c r="A7" s="158" t="s">
        <v>195</v>
      </c>
      <c r="B7" s="187" t="s">
        <v>15</v>
      </c>
      <c r="C7" s="174">
        <f>15.68+9.38</f>
        <v>25.060000000000002</v>
      </c>
      <c r="D7" s="155" t="s">
        <v>8</v>
      </c>
      <c r="E7" s="174">
        <v>1756.4</v>
      </c>
      <c r="F7" s="156">
        <f t="shared" si="0"/>
        <v>44015.384000000005</v>
      </c>
      <c r="G7" s="40"/>
    </row>
    <row r="8" spans="1:7" s="150" customFormat="1" ht="45">
      <c r="A8" s="238" t="s">
        <v>233</v>
      </c>
      <c r="B8" s="188" t="s">
        <v>234</v>
      </c>
      <c r="C8" s="174">
        <v>19.12</v>
      </c>
      <c r="D8" s="155" t="s">
        <v>8</v>
      </c>
      <c r="E8" s="174">
        <v>4961.7299999999996</v>
      </c>
      <c r="F8" s="156">
        <f t="shared" si="0"/>
        <v>94868.277600000001</v>
      </c>
      <c r="G8" s="40"/>
    </row>
    <row r="9" spans="1:7" s="150" customFormat="1" ht="33.75">
      <c r="A9" s="158" t="s">
        <v>235</v>
      </c>
      <c r="B9" s="187" t="s">
        <v>203</v>
      </c>
      <c r="C9" s="166">
        <f>12.55+225.14</f>
        <v>237.69</v>
      </c>
      <c r="D9" s="158" t="s">
        <v>9</v>
      </c>
      <c r="E9" s="166">
        <v>194.5</v>
      </c>
      <c r="F9" s="156">
        <f t="shared" si="0"/>
        <v>46230.705000000002</v>
      </c>
      <c r="G9" s="40"/>
    </row>
    <row r="10" spans="1:7" s="150" customFormat="1" ht="90">
      <c r="A10" s="151" t="s">
        <v>240</v>
      </c>
      <c r="B10" s="239" t="s">
        <v>226</v>
      </c>
      <c r="C10" s="174">
        <v>29.73</v>
      </c>
      <c r="D10" s="155" t="s">
        <v>8</v>
      </c>
      <c r="E10" s="174">
        <v>6082.45</v>
      </c>
      <c r="F10" s="156">
        <f t="shared" si="0"/>
        <v>180831.23850000001</v>
      </c>
      <c r="G10" s="40"/>
    </row>
    <row r="11" spans="1:7" s="150" customFormat="1" ht="78.75">
      <c r="A11" s="151" t="s">
        <v>241</v>
      </c>
      <c r="B11" s="184" t="s">
        <v>228</v>
      </c>
      <c r="C11" s="174">
        <v>11.31</v>
      </c>
      <c r="D11" s="155" t="s">
        <v>242</v>
      </c>
      <c r="E11" s="174">
        <v>6308.87</v>
      </c>
      <c r="F11" s="156">
        <f t="shared" si="0"/>
        <v>71353.319700000007</v>
      </c>
      <c r="G11" s="40"/>
    </row>
    <row r="12" spans="1:7" s="150" customFormat="1" ht="90">
      <c r="A12" s="238" t="s">
        <v>243</v>
      </c>
      <c r="B12" s="190" t="s">
        <v>244</v>
      </c>
      <c r="C12" s="191">
        <v>1.3080000000000001</v>
      </c>
      <c r="D12" s="155" t="s">
        <v>242</v>
      </c>
      <c r="E12" s="174">
        <v>83314.02</v>
      </c>
      <c r="F12" s="156">
        <f t="shared" si="0"/>
        <v>108974.73816000001</v>
      </c>
      <c r="G12" s="40"/>
    </row>
    <row r="13" spans="1:7" s="150" customFormat="1" ht="11.25" customHeight="1">
      <c r="A13" s="158"/>
      <c r="B13" s="187" t="s">
        <v>245</v>
      </c>
      <c r="C13" s="191">
        <v>1.9990000000000001</v>
      </c>
      <c r="D13" s="155" t="s">
        <v>8</v>
      </c>
      <c r="E13" s="174">
        <v>82096.539999999994</v>
      </c>
      <c r="F13" s="156">
        <f t="shared" si="0"/>
        <v>164110.98345999999</v>
      </c>
      <c r="G13" s="40"/>
    </row>
    <row r="14" spans="1:7" s="150" customFormat="1" ht="11.25" customHeight="1">
      <c r="A14" s="240">
        <v>9</v>
      </c>
      <c r="B14" s="241" t="s">
        <v>16</v>
      </c>
      <c r="C14" s="242">
        <v>0</v>
      </c>
      <c r="D14" s="242"/>
      <c r="E14" s="242">
        <v>0</v>
      </c>
      <c r="F14" s="156">
        <f t="shared" si="0"/>
        <v>0</v>
      </c>
      <c r="G14" s="40"/>
    </row>
    <row r="15" spans="1:7" s="150" customFormat="1" ht="11.25" customHeight="1">
      <c r="A15" s="167" t="s">
        <v>17</v>
      </c>
      <c r="B15" s="192" t="s">
        <v>205</v>
      </c>
      <c r="C15" s="174">
        <f>8.22+17.7</f>
        <v>25.92</v>
      </c>
      <c r="D15" s="174" t="s">
        <v>8</v>
      </c>
      <c r="E15" s="166">
        <f>'[2]RCC DRAIN'!I37</f>
        <v>848.82</v>
      </c>
      <c r="F15" s="156">
        <f t="shared" si="0"/>
        <v>22001.414400000001</v>
      </c>
      <c r="G15" s="40"/>
    </row>
    <row r="16" spans="1:7" s="150" customFormat="1" ht="12" customHeight="1">
      <c r="A16" s="167" t="s">
        <v>18</v>
      </c>
      <c r="B16" s="192" t="s">
        <v>231</v>
      </c>
      <c r="C16" s="174">
        <f>9.56+5.72</f>
        <v>15.280000000000001</v>
      </c>
      <c r="D16" s="174" t="s">
        <v>8</v>
      </c>
      <c r="E16" s="166">
        <v>447.06</v>
      </c>
      <c r="F16" s="156">
        <f t="shared" si="0"/>
        <v>6831.0768000000007</v>
      </c>
      <c r="G16" s="40"/>
    </row>
    <row r="17" spans="1:7" s="150" customFormat="1" ht="12" customHeight="1">
      <c r="A17" s="167" t="s">
        <v>19</v>
      </c>
      <c r="B17" s="193" t="s">
        <v>207</v>
      </c>
      <c r="C17" s="174">
        <f>16.44+35.4</f>
        <v>51.84</v>
      </c>
      <c r="D17" s="174" t="s">
        <v>8</v>
      </c>
      <c r="E17" s="166">
        <f>'[2]RCC DRAIN'!I39</f>
        <v>447.06</v>
      </c>
      <c r="F17" s="156">
        <f t="shared" si="0"/>
        <v>23175.590400000001</v>
      </c>
      <c r="G17" s="40"/>
    </row>
    <row r="18" spans="1:7" s="150" customFormat="1" ht="12" customHeight="1">
      <c r="A18" s="167" t="s">
        <v>20</v>
      </c>
      <c r="B18" s="193" t="s">
        <v>208</v>
      </c>
      <c r="C18" s="174">
        <f>15.68+9.38</f>
        <v>25.060000000000002</v>
      </c>
      <c r="D18" s="174" t="s">
        <v>8</v>
      </c>
      <c r="E18" s="166">
        <f>'[2]RCC DRAIN'!I40</f>
        <v>679.66</v>
      </c>
      <c r="F18" s="156">
        <f t="shared" si="0"/>
        <v>17032.279600000002</v>
      </c>
      <c r="G18" s="40"/>
    </row>
    <row r="19" spans="1:7" s="150" customFormat="1" ht="10.5" customHeight="1">
      <c r="A19" s="167" t="s">
        <v>21</v>
      </c>
      <c r="B19" s="193" t="s">
        <v>209</v>
      </c>
      <c r="C19" s="174">
        <f>28.67+83.93</f>
        <v>112.60000000000001</v>
      </c>
      <c r="D19" s="174" t="s">
        <v>8</v>
      </c>
      <c r="E19" s="166">
        <f>'[2]RCC DRAIN'!I41</f>
        <v>117.54</v>
      </c>
      <c r="F19" s="156">
        <f t="shared" si="0"/>
        <v>13235.004000000001</v>
      </c>
      <c r="G19" s="40"/>
    </row>
    <row r="20" spans="1:7" s="150" customFormat="1" ht="11.25" customHeight="1">
      <c r="A20" s="170"/>
      <c r="B20" s="171"/>
      <c r="C20" s="194"/>
      <c r="D20" s="195"/>
      <c r="E20" s="195" t="s">
        <v>38</v>
      </c>
      <c r="F20" s="174">
        <f>SUM(F5:F19)</f>
        <v>815070.09161999996</v>
      </c>
      <c r="G20" s="40"/>
    </row>
    <row r="21" spans="1:7" s="150" customFormat="1" ht="12" customHeight="1">
      <c r="A21" s="175"/>
      <c r="B21" s="176"/>
      <c r="C21" s="195"/>
      <c r="D21" s="194"/>
      <c r="E21" s="195" t="s">
        <v>210</v>
      </c>
      <c r="F21" s="174">
        <f>F20*18/100</f>
        <v>146712.6164916</v>
      </c>
      <c r="G21" s="40"/>
    </row>
    <row r="22" spans="1:7" s="150" customFormat="1" ht="11.25" customHeight="1">
      <c r="A22" s="175"/>
      <c r="B22" s="176"/>
      <c r="C22" s="195"/>
      <c r="D22" s="195"/>
      <c r="E22" s="195"/>
      <c r="F22" s="174">
        <f>F20+F21</f>
        <v>961782.70811160002</v>
      </c>
      <c r="G22" s="40"/>
    </row>
    <row r="23" spans="1:7" s="150" customFormat="1" ht="10.5" customHeight="1">
      <c r="A23" s="175"/>
      <c r="B23" s="176"/>
      <c r="C23" s="195"/>
      <c r="D23" s="195"/>
      <c r="E23" s="195" t="s">
        <v>211</v>
      </c>
      <c r="F23" s="174">
        <f>F22*1/100</f>
        <v>9617.827081116</v>
      </c>
      <c r="G23" s="40"/>
    </row>
    <row r="24" spans="1:7" s="150" customFormat="1" ht="10.5" customHeight="1">
      <c r="A24" s="175"/>
      <c r="B24" s="176"/>
      <c r="C24" s="195"/>
      <c r="D24" s="195"/>
      <c r="E24" s="195" t="s">
        <v>38</v>
      </c>
      <c r="F24" s="177">
        <f>F22+F23</f>
        <v>971400.53519271605</v>
      </c>
      <c r="G24" s="40"/>
    </row>
    <row r="25" spans="1:7" s="150" customFormat="1">
      <c r="C25" s="178"/>
      <c r="D25" s="178"/>
      <c r="E25" s="178"/>
      <c r="F25" s="178"/>
    </row>
    <row r="26" spans="1:7" s="150" customFormat="1">
      <c r="C26" s="178"/>
      <c r="D26" s="178"/>
      <c r="E26" s="178"/>
      <c r="F26" s="178"/>
    </row>
    <row r="27" spans="1:7" s="150" customFormat="1">
      <c r="C27" s="178"/>
      <c r="D27" s="178"/>
      <c r="E27" s="178"/>
      <c r="F27" s="178"/>
    </row>
    <row r="28" spans="1:7" s="150" customFormat="1">
      <c r="C28" s="178"/>
      <c r="D28" s="178"/>
      <c r="E28" s="178"/>
      <c r="F28" s="178"/>
    </row>
    <row r="29" spans="1:7" s="150" customFormat="1">
      <c r="C29" s="178"/>
      <c r="D29" s="178"/>
      <c r="E29" s="178"/>
      <c r="F29" s="178"/>
    </row>
    <row r="30" spans="1:7" s="150" customFormat="1">
      <c r="C30" s="178"/>
      <c r="D30" s="178"/>
      <c r="E30" s="178"/>
      <c r="F30" s="178"/>
    </row>
    <row r="31" spans="1:7" s="150" customFormat="1">
      <c r="C31" s="178"/>
      <c r="D31" s="178"/>
      <c r="E31" s="178"/>
      <c r="F31" s="178"/>
    </row>
    <row r="32" spans="1:7" s="150" customFormat="1">
      <c r="C32" s="178"/>
      <c r="D32" s="178"/>
      <c r="E32" s="178"/>
      <c r="F32" s="178"/>
    </row>
    <row r="33" spans="1:6" s="150" customFormat="1">
      <c r="C33" s="178"/>
      <c r="D33" s="178"/>
      <c r="E33" s="178"/>
      <c r="F33" s="178"/>
    </row>
    <row r="34" spans="1:6" s="150" customFormat="1">
      <c r="C34" s="178"/>
      <c r="D34" s="178"/>
      <c r="E34" s="178"/>
      <c r="F34" s="178"/>
    </row>
    <row r="35" spans="1:6" s="150" customFormat="1">
      <c r="C35" s="178"/>
      <c r="D35" s="178"/>
      <c r="E35" s="178"/>
      <c r="F35" s="178"/>
    </row>
    <row r="36" spans="1:6" s="150" customFormat="1">
      <c r="C36" s="178"/>
      <c r="D36" s="178"/>
      <c r="E36" s="178"/>
      <c r="F36" s="178"/>
    </row>
    <row r="37" spans="1:6" s="150" customFormat="1">
      <c r="C37" s="178"/>
      <c r="D37" s="178"/>
      <c r="E37" s="178"/>
      <c r="F37" s="178"/>
    </row>
    <row r="38" spans="1:6" s="150" customFormat="1">
      <c r="C38" s="178"/>
      <c r="D38" s="178"/>
      <c r="E38" s="178"/>
      <c r="F38" s="178"/>
    </row>
    <row r="39" spans="1:6" s="150" customFormat="1">
      <c r="C39" s="178"/>
      <c r="D39" s="178"/>
      <c r="E39" s="178"/>
      <c r="F39" s="178"/>
    </row>
    <row r="40" spans="1:6" s="150" customFormat="1">
      <c r="C40" s="178"/>
      <c r="D40" s="178"/>
      <c r="E40" s="178"/>
      <c r="F40" s="178"/>
    </row>
    <row r="41" spans="1:6" s="150" customFormat="1">
      <c r="C41" s="178"/>
      <c r="D41" s="178"/>
      <c r="E41" s="178"/>
      <c r="F41" s="178"/>
    </row>
    <row r="42" spans="1:6" s="150" customFormat="1">
      <c r="A42"/>
      <c r="B42"/>
      <c r="C42" s="179"/>
      <c r="D42" s="179"/>
      <c r="E42" s="179"/>
      <c r="F42" s="179"/>
    </row>
    <row r="43" spans="1:6">
      <c r="C43" s="179"/>
      <c r="D43" s="179"/>
      <c r="E43" s="179"/>
      <c r="F43" s="179"/>
    </row>
    <row r="44" spans="1:6">
      <c r="C44" s="179"/>
      <c r="D44" s="179"/>
      <c r="E44" s="179"/>
      <c r="F44" s="179"/>
    </row>
    <row r="45" spans="1:6">
      <c r="C45" s="179"/>
      <c r="D45" s="179"/>
      <c r="E45" s="179"/>
      <c r="F45" s="179"/>
    </row>
    <row r="46" spans="1:6">
      <c r="C46" s="179"/>
      <c r="D46" s="179"/>
      <c r="E46" s="179"/>
      <c r="F46" s="179"/>
    </row>
    <row r="47" spans="1:6">
      <c r="C47" s="179"/>
      <c r="D47" s="179"/>
      <c r="E47" s="179"/>
      <c r="F47" s="179"/>
    </row>
    <row r="48" spans="1:6">
      <c r="C48" s="179"/>
      <c r="D48" s="179"/>
      <c r="E48" s="179"/>
      <c r="F48" s="179"/>
    </row>
    <row r="49" spans="3:6">
      <c r="C49" s="179"/>
      <c r="D49" s="179"/>
      <c r="E49" s="179"/>
      <c r="F49" s="179"/>
    </row>
    <row r="50" spans="3:6">
      <c r="C50" s="179"/>
      <c r="D50" s="179"/>
      <c r="E50" s="179"/>
      <c r="F50" s="179"/>
    </row>
    <row r="51" spans="3:6">
      <c r="C51" s="179"/>
      <c r="D51" s="179"/>
      <c r="E51" s="179"/>
      <c r="F51" s="179"/>
    </row>
    <row r="52" spans="3:6">
      <c r="C52" s="179"/>
      <c r="D52" s="179"/>
      <c r="E52" s="179"/>
      <c r="F52" s="179"/>
    </row>
  </sheetData>
  <mergeCells count="3">
    <mergeCell ref="A1:F1"/>
    <mergeCell ref="A2:F2"/>
    <mergeCell ref="A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30"/>
  <sheetViews>
    <sheetView topLeftCell="A22" workbookViewId="0">
      <selection activeCell="H1" sqref="H1"/>
    </sheetView>
  </sheetViews>
  <sheetFormatPr defaultColWidth="9.140625" defaultRowHeight="15"/>
  <cols>
    <col min="1" max="1" width="9.28515625" style="60" bestFit="1" customWidth="1"/>
    <col min="2" max="2" width="42.28515625" style="61" customWidth="1"/>
    <col min="3" max="3" width="9.140625" style="44" customWidth="1"/>
    <col min="4" max="4" width="9.140625" style="62"/>
    <col min="5" max="5" width="11.28515625" style="63" bestFit="1" customWidth="1"/>
    <col min="6" max="6" width="18.5703125" style="63" bestFit="1" customWidth="1"/>
    <col min="7" max="16384" width="9.140625" style="44"/>
  </cols>
  <sheetData>
    <row r="1" spans="1:6" ht="60.75" customHeight="1">
      <c r="A1" s="307" t="s">
        <v>0</v>
      </c>
      <c r="B1" s="307"/>
      <c r="C1" s="307"/>
      <c r="D1" s="307"/>
      <c r="E1" s="307"/>
      <c r="F1" s="307"/>
    </row>
    <row r="2" spans="1:6" ht="18.75">
      <c r="A2" s="308" t="s">
        <v>22</v>
      </c>
      <c r="B2" s="308"/>
      <c r="C2" s="308"/>
      <c r="D2" s="308"/>
      <c r="E2" s="308"/>
      <c r="F2" s="308"/>
    </row>
    <row r="3" spans="1:6" ht="36.75" customHeight="1">
      <c r="A3" s="309" t="str">
        <f>[3]Sheet1!A3</f>
        <v>Name of Work :-Construction of Major RCC Culvert at Bandhgari road no-05 under ward no-06</v>
      </c>
      <c r="B3" s="309"/>
      <c r="C3" s="309"/>
      <c r="D3" s="309"/>
      <c r="E3" s="309"/>
      <c r="F3" s="309"/>
    </row>
    <row r="4" spans="1:6">
      <c r="A4" s="45" t="s">
        <v>23</v>
      </c>
      <c r="B4" s="45" t="s">
        <v>24</v>
      </c>
      <c r="C4" s="45" t="s">
        <v>25</v>
      </c>
      <c r="D4" s="45" t="s">
        <v>5</v>
      </c>
      <c r="E4" s="46" t="s">
        <v>26</v>
      </c>
      <c r="F4" s="46" t="s">
        <v>27</v>
      </c>
    </row>
    <row r="5" spans="1:6" ht="75">
      <c r="A5" s="47" t="str">
        <f>[4]Sheet1!A5</f>
        <v>1            5.10.2</v>
      </c>
      <c r="B5" s="48" t="str">
        <f>[5]Drain!B5</f>
        <v xml:space="preserve">Dismantling plain cement or lime concrete work including stacking serviceable materials in countable stacks within 15M.lead and disposal of unserviceable materials with all leads complete  as per direction of E/I.              </v>
      </c>
      <c r="C5" s="49">
        <f>[3]Sheet1!G8</f>
        <v>6.23</v>
      </c>
      <c r="D5" s="50" t="str">
        <f>D7</f>
        <v>M3</v>
      </c>
      <c r="E5" s="51">
        <f>[5]Drain!I8</f>
        <v>955.89</v>
      </c>
      <c r="F5" s="51">
        <f>ROUND((C5*E5),2)</f>
        <v>5955.19</v>
      </c>
    </row>
    <row r="6" spans="1:6" ht="120">
      <c r="A6" s="47" t="str">
        <f>[5]Drain!A9</f>
        <v>2            5.1.1</v>
      </c>
      <c r="B6" s="48" t="str">
        <f>[5]Drain!B9</f>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
      <c r="C6" s="49">
        <f>[3]Sheet1!G13</f>
        <v>81</v>
      </c>
      <c r="D6" s="50" t="str">
        <f>D7</f>
        <v>M3</v>
      </c>
      <c r="E6" s="51">
        <f>[5]Drain!I13</f>
        <v>151.82</v>
      </c>
      <c r="F6" s="51">
        <f>ROUND((C6*E6),2)</f>
        <v>12297.42</v>
      </c>
    </row>
    <row r="7" spans="1:6" ht="120">
      <c r="A7" s="47" t="str">
        <f>[5]Drain!A14</f>
        <v>34/M004</v>
      </c>
      <c r="B7" s="48" t="str">
        <f>[6]Sheet1!B9</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7" s="49">
        <f>[3]Sheet1!G18</f>
        <v>4.75</v>
      </c>
      <c r="D7" s="50" t="s">
        <v>28</v>
      </c>
      <c r="E7" s="51">
        <f>[6]Sheet1!I12</f>
        <v>347.85</v>
      </c>
      <c r="F7" s="51">
        <f t="shared" ref="F7:F24" si="0">ROUND((C7*E7),2)</f>
        <v>1652.29</v>
      </c>
    </row>
    <row r="8" spans="1:6" ht="90">
      <c r="A8" s="47" t="str">
        <f>[5]Drain!A19</f>
        <v>45.6.8</v>
      </c>
      <c r="B8" s="48" t="str">
        <f>[6]Sheet1!B13</f>
        <v>Supplying and laying (properly as per design and drawing) rip-rap with good  quality of boulders duly packed including the cost of materials, royalty all taxes etc. but excluding the cost of carriage all complete as per specification and direction of E/I.</v>
      </c>
      <c r="C8" s="49">
        <f>[3]Sheet1!G23</f>
        <v>6.73</v>
      </c>
      <c r="D8" s="50" t="s">
        <v>28</v>
      </c>
      <c r="E8" s="51">
        <f>[6]Sheet1!I16</f>
        <v>1756.4</v>
      </c>
      <c r="F8" s="51">
        <f t="shared" si="0"/>
        <v>11820.57</v>
      </c>
    </row>
    <row r="9" spans="1:6" ht="150">
      <c r="A9" s="47" t="str">
        <f>[3]Sheet1!A24</f>
        <v>55.3.10</v>
      </c>
      <c r="B9" s="48" t="str">
        <f>[3]Sheet1!B24</f>
        <v>Reinforced cement concrete work in walls (any thickness) including atteched plasters, buttresses plinth and string course, fillets, columns, pillars, piers, abutments, post, and struts etc above plinth level up to floor five level, excluding the cost of centering, shuttering, finishing and reinforcement.RCC1:1.5:3 (1 Cement : 1.5 coarse sand zone(III): 3 graded stone aggregate 20mm nominal size)</v>
      </c>
      <c r="C9" s="49">
        <f>[3]Sheet1!G28</f>
        <v>21.18</v>
      </c>
      <c r="D9" s="50" t="s">
        <v>28</v>
      </c>
      <c r="E9" s="51">
        <f>[5]Drain!I30</f>
        <v>6082.45</v>
      </c>
      <c r="F9" s="51">
        <f t="shared" si="0"/>
        <v>128826.29</v>
      </c>
    </row>
    <row r="10" spans="1:6" ht="105">
      <c r="A10" s="47" t="str">
        <f>[3]Sheet1!A29</f>
        <v>65.3.11</v>
      </c>
      <c r="B10" s="48" t="str">
        <f>[3]Sheet1!B29</f>
        <v>Renforced cement conrete work in beams, suspended floors, having slopeup to 15' landing, balconies, shelves, chajjas, lintels, bands, plain windowsill ---------do----do-------E/I1:1.5:3 (1 Cement : 1.5 coarse sand zone(III): 3 graded stone aggregate 20mm nominal size)</v>
      </c>
      <c r="C10" s="49">
        <f>[3]Sheet1!G32</f>
        <v>4.9800000000000004</v>
      </c>
      <c r="D10" s="50" t="str">
        <f>D9</f>
        <v>M3</v>
      </c>
      <c r="E10" s="51">
        <f>[5]Drain!I35</f>
        <v>6308.87</v>
      </c>
      <c r="F10" s="51">
        <f t="shared" si="0"/>
        <v>31418.17</v>
      </c>
    </row>
    <row r="11" spans="1:6" ht="105">
      <c r="A11" s="47" t="str">
        <f>[3]Sheet1!A33</f>
        <v>75.3.11</v>
      </c>
      <c r="B11" s="48" t="str">
        <f>[3]Sheet1!B33</f>
        <v>Renforced cement conrete work in beams, suspended floors, having slopeup to 15' landing, balconies, shelves, chajjas, lintels, bands, plain windowsill ---------do----do-------E/I1:1.5:3 (1 Cement : 1.5 coarse sand zone(III): 3 graded stone aggregate 20mm nominal size)</v>
      </c>
      <c r="C11" s="49">
        <f>[3]Sheet1!G36</f>
        <v>1.02</v>
      </c>
      <c r="D11" s="50" t="str">
        <f>D10</f>
        <v>M3</v>
      </c>
      <c r="E11" s="51">
        <f>[3]Sheet1!I36</f>
        <v>6308.87</v>
      </c>
      <c r="F11" s="51">
        <f t="shared" si="0"/>
        <v>6435.05</v>
      </c>
    </row>
    <row r="12" spans="1:6" ht="135">
      <c r="A12" s="47">
        <f>[3]Sheet1!A37</f>
        <v>8</v>
      </c>
      <c r="B12" s="48" t="str">
        <f>[5]Drain!B36</f>
        <v>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v>
      </c>
      <c r="C12" s="49"/>
      <c r="D12" s="50"/>
      <c r="E12" s="51"/>
      <c r="F12" s="51"/>
    </row>
    <row r="13" spans="1:6">
      <c r="A13" s="47" t="str">
        <f>[5]Drain!A41</f>
        <v>(A)5.5.4</v>
      </c>
      <c r="B13" s="48" t="s">
        <v>29</v>
      </c>
      <c r="C13" s="52">
        <f>[3]Sheet1!G42</f>
        <v>6.2E-2</v>
      </c>
      <c r="D13" s="50" t="str">
        <f>[5]Drain!H41</f>
        <v>M.T.</v>
      </c>
      <c r="E13" s="51">
        <f>[5]Drain!I41</f>
        <v>83314.02</v>
      </c>
      <c r="F13" s="51">
        <f t="shared" si="0"/>
        <v>5165.47</v>
      </c>
    </row>
    <row r="14" spans="1:6" ht="30">
      <c r="A14" s="47" t="str">
        <f>[5]Drain!A42</f>
        <v>(B)5.5.5(a)</v>
      </c>
      <c r="B14" s="48" t="s">
        <v>30</v>
      </c>
      <c r="C14" s="52">
        <f>[3]Sheet1!G43</f>
        <v>0.71799999999999997</v>
      </c>
      <c r="D14" s="50" t="str">
        <f>D13</f>
        <v>M.T.</v>
      </c>
      <c r="E14" s="51">
        <f>[5]Drain!I42</f>
        <v>82096.539999999994</v>
      </c>
      <c r="F14" s="51">
        <f t="shared" si="0"/>
        <v>58945.32</v>
      </c>
    </row>
    <row r="15" spans="1:6" ht="30">
      <c r="A15" s="47" t="str">
        <f>[3]Sheet1!A44</f>
        <v>(B)5.5.5(b)</v>
      </c>
      <c r="B15" s="48" t="s">
        <v>31</v>
      </c>
      <c r="C15" s="52">
        <f>[3]Sheet1!G44</f>
        <v>0.78</v>
      </c>
      <c r="D15" s="50" t="str">
        <f t="shared" ref="D15:D16" si="1">D14</f>
        <v>M.T.</v>
      </c>
      <c r="E15" s="51">
        <f>[3]Sheet1!I44</f>
        <v>80879.070000000007</v>
      </c>
      <c r="F15" s="51">
        <f t="shared" si="0"/>
        <v>63085.67</v>
      </c>
    </row>
    <row r="16" spans="1:6" ht="30">
      <c r="A16" s="47" t="str">
        <f>[3]Sheet1!A45</f>
        <v>(C)5.5.5(c)</v>
      </c>
      <c r="B16" s="48" t="s">
        <v>32</v>
      </c>
      <c r="C16" s="52">
        <f>[3]Sheet1!G45</f>
        <v>1.56</v>
      </c>
      <c r="D16" s="50" t="str">
        <f t="shared" si="1"/>
        <v>M.T.</v>
      </c>
      <c r="E16" s="51">
        <f>[3]Sheet1!I45</f>
        <v>80879.070000000007</v>
      </c>
      <c r="F16" s="51">
        <f t="shared" si="0"/>
        <v>126171.35</v>
      </c>
    </row>
    <row r="17" spans="1:6" ht="90">
      <c r="A17" s="47" t="str">
        <f>[3]Sheet1!A46</f>
        <v>9 5.3.1.1</v>
      </c>
      <c r="B17" s="48" t="str">
        <f>[3]Sheet1!B46</f>
        <v>Providing and laying in position cement concrete of specified grade excluding the cost of centering and shuttering - All work up to plinth level1:1.5:3 (1 Cement : 1.5 coarse sand zone(III): 3 graded stone aggregate 20mm nominal size)</v>
      </c>
      <c r="C17" s="49">
        <f>[3]Sheet1!G49</f>
        <v>5.0999999999999996</v>
      </c>
      <c r="D17" s="50" t="str">
        <f>D9</f>
        <v>M3</v>
      </c>
      <c r="E17" s="51">
        <f>[3]Sheet1!I49</f>
        <v>4961.7299999999996</v>
      </c>
      <c r="F17" s="51">
        <f t="shared" si="0"/>
        <v>25304.82</v>
      </c>
    </row>
    <row r="18" spans="1:6" ht="60">
      <c r="A18" s="47" t="str">
        <f>[3]Sheet1!A50</f>
        <v>105.3.17.1</v>
      </c>
      <c r="B18" s="48" t="str">
        <f>[5]Drain!B44</f>
        <v>Centering and Shuttering including strutting, propping etc and removal of from for   Foundation , footing , bases of columns etc for mass concrete.</v>
      </c>
      <c r="C18" s="49">
        <f>[3]Sheet1!G55</f>
        <v>105.02</v>
      </c>
      <c r="D18" s="50" t="str">
        <f>[5]Drain!H50</f>
        <v>m2</v>
      </c>
      <c r="E18" s="51">
        <f>[5]Drain!I50</f>
        <v>194.5</v>
      </c>
      <c r="F18" s="51">
        <f t="shared" si="0"/>
        <v>20426.39</v>
      </c>
    </row>
    <row r="19" spans="1:6">
      <c r="A19" s="53">
        <v>11</v>
      </c>
      <c r="B19" s="54" t="s">
        <v>33</v>
      </c>
      <c r="C19" s="55"/>
      <c r="D19" s="50"/>
      <c r="E19" s="51"/>
      <c r="F19" s="51"/>
    </row>
    <row r="20" spans="1:6">
      <c r="A20" s="56" t="s">
        <v>17</v>
      </c>
      <c r="B20" s="57" t="s">
        <v>34</v>
      </c>
      <c r="C20" s="49">
        <f>[3]Sheet1!G57</f>
        <v>13.44</v>
      </c>
      <c r="D20" s="50" t="s">
        <v>28</v>
      </c>
      <c r="E20" s="58">
        <f>[3]Sheet1!I57</f>
        <v>848.82</v>
      </c>
      <c r="F20" s="51">
        <f t="shared" si="0"/>
        <v>11408.14</v>
      </c>
    </row>
    <row r="21" spans="1:6">
      <c r="A21" s="56" t="s">
        <v>18</v>
      </c>
      <c r="B21" s="57" t="str">
        <f>[5]Drain!B53</f>
        <v>Stone Dust (Lead 22 KM)</v>
      </c>
      <c r="C21" s="49">
        <f>[3]Sheet1!G58</f>
        <v>4.75</v>
      </c>
      <c r="D21" s="50" t="s">
        <v>28</v>
      </c>
      <c r="E21" s="58">
        <f>[3]Sheet1!I58</f>
        <v>447.06</v>
      </c>
      <c r="F21" s="51">
        <f t="shared" si="0"/>
        <v>2123.54</v>
      </c>
    </row>
    <row r="22" spans="1:6">
      <c r="A22" s="56" t="s">
        <v>19</v>
      </c>
      <c r="B22" s="57" t="s">
        <v>35</v>
      </c>
      <c r="C22" s="49">
        <f>[3]Sheet1!G59</f>
        <v>6.73</v>
      </c>
      <c r="D22" s="50" t="s">
        <v>28</v>
      </c>
      <c r="E22" s="58">
        <f>[3]Sheet1!I59</f>
        <v>679.66</v>
      </c>
      <c r="F22" s="51">
        <f t="shared" si="0"/>
        <v>4574.1099999999997</v>
      </c>
    </row>
    <row r="23" spans="1:6">
      <c r="A23" s="56" t="s">
        <v>20</v>
      </c>
      <c r="B23" s="57" t="s">
        <v>36</v>
      </c>
      <c r="C23" s="49">
        <f>[3]Sheet1!G60</f>
        <v>26.880000000000003</v>
      </c>
      <c r="D23" s="50" t="s">
        <v>28</v>
      </c>
      <c r="E23" s="58">
        <f>[3]Sheet1!I60</f>
        <v>447.06</v>
      </c>
      <c r="F23" s="51">
        <f t="shared" si="0"/>
        <v>12016.97</v>
      </c>
    </row>
    <row r="24" spans="1:6">
      <c r="A24" s="56" t="s">
        <v>21</v>
      </c>
      <c r="B24" s="57" t="s">
        <v>37</v>
      </c>
      <c r="C24" s="49">
        <f>[3]Sheet1!G61</f>
        <v>81</v>
      </c>
      <c r="D24" s="50" t="s">
        <v>28</v>
      </c>
      <c r="E24" s="58">
        <f>[3]Sheet1!I61</f>
        <v>117.54</v>
      </c>
      <c r="F24" s="51">
        <f t="shared" si="0"/>
        <v>9520.74</v>
      </c>
    </row>
    <row r="25" spans="1:6" ht="18.75">
      <c r="A25" s="53"/>
      <c r="B25" s="54"/>
      <c r="C25" s="55"/>
      <c r="D25" s="50"/>
      <c r="E25" s="51" t="s">
        <v>38</v>
      </c>
      <c r="F25" s="59">
        <f>SUM(F5:F24)</f>
        <v>537147.49999999988</v>
      </c>
    </row>
    <row r="26" spans="1:6" ht="18.75">
      <c r="A26" s="306" t="s">
        <v>39</v>
      </c>
      <c r="B26" s="306"/>
      <c r="C26" s="306"/>
      <c r="D26" s="306"/>
      <c r="E26" s="306"/>
      <c r="F26" s="59">
        <f>ROUND((F25*18%),2)</f>
        <v>96686.55</v>
      </c>
    </row>
    <row r="27" spans="1:6" ht="18.75">
      <c r="A27" s="306" t="s">
        <v>10</v>
      </c>
      <c r="B27" s="306" t="s">
        <v>10</v>
      </c>
      <c r="C27" s="306"/>
      <c r="D27" s="306"/>
      <c r="E27" s="306"/>
      <c r="F27" s="59">
        <f>F25+F26</f>
        <v>633834.04999999993</v>
      </c>
    </row>
    <row r="28" spans="1:6" ht="18.75">
      <c r="A28" s="306" t="s">
        <v>40</v>
      </c>
      <c r="B28" s="306" t="s">
        <v>41</v>
      </c>
      <c r="C28" s="306"/>
      <c r="D28" s="306"/>
      <c r="E28" s="306"/>
      <c r="F28" s="59">
        <f>ROUND((F27*1%),2)</f>
        <v>6338.34</v>
      </c>
    </row>
    <row r="29" spans="1:6" ht="18.75">
      <c r="A29" s="306" t="s">
        <v>10</v>
      </c>
      <c r="B29" s="306" t="s">
        <v>10</v>
      </c>
      <c r="C29" s="306"/>
      <c r="D29" s="306"/>
      <c r="E29" s="306"/>
      <c r="F29" s="59">
        <f>F27+F28</f>
        <v>640172.3899999999</v>
      </c>
    </row>
    <row r="30" spans="1:6" ht="18.75">
      <c r="A30" s="306" t="s">
        <v>42</v>
      </c>
      <c r="B30" s="306" t="s">
        <v>42</v>
      </c>
      <c r="C30" s="306"/>
      <c r="D30" s="306"/>
      <c r="E30" s="306"/>
      <c r="F30" s="59">
        <f>ROUND((F29),0)</f>
        <v>640172</v>
      </c>
    </row>
  </sheetData>
  <mergeCells count="8">
    <mergeCell ref="A29:E29"/>
    <mergeCell ref="A30:E30"/>
    <mergeCell ref="A1:F1"/>
    <mergeCell ref="A2:F2"/>
    <mergeCell ref="A3:F3"/>
    <mergeCell ref="A26:E26"/>
    <mergeCell ref="A27:E27"/>
    <mergeCell ref="A28:E2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A1:F27"/>
  <sheetViews>
    <sheetView workbookViewId="0">
      <selection activeCell="D5" sqref="D5"/>
    </sheetView>
  </sheetViews>
  <sheetFormatPr defaultColWidth="9.140625" defaultRowHeight="15"/>
  <cols>
    <col min="1" max="1" width="9.28515625" style="60" bestFit="1" customWidth="1"/>
    <col min="2" max="2" width="42.28515625" style="61" customWidth="1"/>
    <col min="3" max="3" width="9.140625" style="44" customWidth="1"/>
    <col min="4" max="4" width="9.140625" style="62"/>
    <col min="5" max="5" width="11.28515625" style="63" bestFit="1" customWidth="1"/>
    <col min="6" max="6" width="18.5703125" style="63" bestFit="1" customWidth="1"/>
    <col min="7" max="16384" width="9.140625" style="44"/>
  </cols>
  <sheetData>
    <row r="1" spans="1:6" ht="60.75" customHeight="1">
      <c r="A1" s="307" t="s">
        <v>0</v>
      </c>
      <c r="B1" s="307"/>
      <c r="C1" s="307"/>
      <c r="D1" s="307"/>
      <c r="E1" s="307"/>
      <c r="F1" s="307"/>
    </row>
    <row r="2" spans="1:6" ht="18.75">
      <c r="A2" s="308" t="s">
        <v>22</v>
      </c>
      <c r="B2" s="308"/>
      <c r="C2" s="308"/>
      <c r="D2" s="308"/>
      <c r="E2" s="308"/>
      <c r="F2" s="308"/>
    </row>
    <row r="3" spans="1:6" ht="30.75" customHeight="1">
      <c r="A3" s="309" t="str">
        <f>[7]Drain!A3</f>
        <v>Name of Work :-Beautification of Sarna Sthal at Gadigaon, Pahantoli under ward no-07</v>
      </c>
      <c r="B3" s="309"/>
      <c r="C3" s="309"/>
      <c r="D3" s="309"/>
      <c r="E3" s="309"/>
      <c r="F3" s="309"/>
    </row>
    <row r="4" spans="1:6">
      <c r="A4" s="45" t="s">
        <v>23</v>
      </c>
      <c r="B4" s="45" t="s">
        <v>24</v>
      </c>
      <c r="C4" s="45" t="s">
        <v>25</v>
      </c>
      <c r="D4" s="45" t="s">
        <v>5</v>
      </c>
      <c r="E4" s="46" t="s">
        <v>26</v>
      </c>
      <c r="F4" s="46" t="s">
        <v>27</v>
      </c>
    </row>
    <row r="5" spans="1:6" ht="120">
      <c r="A5" s="47" t="str">
        <f>[7]Drain!A5</f>
        <v>1           5.1.1</v>
      </c>
      <c r="B5" s="48" t="str">
        <f>[7]Drain!B5</f>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
      <c r="C5" s="49">
        <f>[7]Drain!G11</f>
        <v>22.39</v>
      </c>
      <c r="D5" s="50" t="str">
        <f>D6</f>
        <v>M3</v>
      </c>
      <c r="E5" s="51">
        <f>[7]Drain!I11</f>
        <v>151.82</v>
      </c>
      <c r="F5" s="51">
        <f>ROUND((C5*E5),2)</f>
        <v>3399.25</v>
      </c>
    </row>
    <row r="6" spans="1:6" ht="120">
      <c r="A6" s="47" t="str">
        <f>[7]Drain!A12</f>
        <v>24/M004</v>
      </c>
      <c r="B6" s="48" t="str">
        <f>[6]Sheet1!B9</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6" s="49">
        <f>[7]Drain!G18</f>
        <v>4.95</v>
      </c>
      <c r="D6" s="50" t="s">
        <v>28</v>
      </c>
      <c r="E6" s="51">
        <f>[6]Sheet1!I12</f>
        <v>347.85</v>
      </c>
      <c r="F6" s="51">
        <f t="shared" ref="F6:F21" si="0">ROUND((C6*E6),2)</f>
        <v>1721.86</v>
      </c>
    </row>
    <row r="7" spans="1:6" ht="30">
      <c r="A7" s="47" t="str">
        <f>[7]Drain!A19</f>
        <v>3 5.6.3</v>
      </c>
      <c r="B7" s="48" t="str">
        <f>[7]Drain!B19</f>
        <v>Providing designation 75B one Brick Flat Soling…… do………..do…….E/I.</v>
      </c>
      <c r="C7" s="49">
        <f>[7]Drain!G22</f>
        <v>13.38</v>
      </c>
      <c r="D7" s="50" t="s">
        <v>43</v>
      </c>
      <c r="E7" s="51">
        <f>[7]Drain!I22</f>
        <v>330.34</v>
      </c>
      <c r="F7" s="51">
        <f t="shared" si="0"/>
        <v>4419.95</v>
      </c>
    </row>
    <row r="8" spans="1:6" ht="90">
      <c r="A8" s="47" t="str">
        <f>[7]Drain!A23</f>
        <v>45.3.1.2</v>
      </c>
      <c r="B8" s="48" t="str">
        <f>[6]Sheet1!B17</f>
        <v>Providing and laying in position cement concrete of specified grade excluding the cost of centering and shuttering - All work up to plinth level1:1.5:3 (1 Cement : 1.5 coarse sand zone(III): 3 graded stone aggregate 20mm nominal size)</v>
      </c>
      <c r="C8" s="49">
        <f>[7]Drain!G30</f>
        <v>6.71</v>
      </c>
      <c r="D8" s="50" t="s">
        <v>28</v>
      </c>
      <c r="E8" s="51">
        <f>[7]Drain!I30</f>
        <v>4598.2299999999996</v>
      </c>
      <c r="F8" s="51">
        <f t="shared" si="0"/>
        <v>30854.12</v>
      </c>
    </row>
    <row r="9" spans="1:6" ht="75">
      <c r="A9" s="47" t="str">
        <f>[7]Drain!A31</f>
        <v>516.19DSR</v>
      </c>
      <c r="B9" s="48" t="str">
        <f>[7]Drain!B31</f>
        <v xml:space="preserve">Supplying at site Angle iron post &amp; strut of required size includingbottom to be split and bent at right angle in opposite direction for 10cm length and drilling holes upto 10 mm dia. etc. complete. </v>
      </c>
      <c r="C9" s="49">
        <f>[7]Drain!G41</f>
        <v>1122.8700000000001</v>
      </c>
      <c r="D9" s="50" t="s">
        <v>44</v>
      </c>
      <c r="E9" s="51">
        <f>[7]Drain!I41</f>
        <v>86.75</v>
      </c>
      <c r="F9" s="51">
        <f t="shared" si="0"/>
        <v>97408.97</v>
      </c>
    </row>
    <row r="10" spans="1:6" ht="90">
      <c r="A10" s="47" t="str">
        <f>[7]Drain!A42</f>
        <v>616.70.1</v>
      </c>
      <c r="B10" s="48" t="str">
        <f>[7]Drain!B42</f>
        <v xml:space="preserve">Providing and fixing G.I. chain link fabric fencing of required width inmesh size 50x50 mm including strengthening with 2 mm dia wire ornuts, bolts and washers as required complete as per the direction ofEngineer-in-charge.Made of G.I. wire of dia 4 mm </v>
      </c>
      <c r="C10" s="49">
        <f>[7]Drain!G45</f>
        <v>325.64999999999998</v>
      </c>
      <c r="D10" s="50" t="str">
        <f>D7</f>
        <v>M2</v>
      </c>
      <c r="E10" s="51">
        <f>[7]Drain!I45</f>
        <v>746.04</v>
      </c>
      <c r="F10" s="51">
        <f t="shared" si="0"/>
        <v>242947.93</v>
      </c>
    </row>
    <row r="11" spans="1:6" ht="75">
      <c r="A11" s="47" t="str">
        <f>[7]Drain!A46</f>
        <v>75.5.30</v>
      </c>
      <c r="B11" s="48" t="str">
        <f>[7]Drain!B46</f>
        <v>Supplying fitting and fixing M.S grill gate with M.S grills made of 20x6mm M.S flats or 16mm M.S square bars fitted on 25x25x6mm M.S Angle frame –do—(when steel is not supplied by the deptt.)</v>
      </c>
      <c r="C11" s="49">
        <f>[7]Drain!G50</f>
        <v>252</v>
      </c>
      <c r="D11" s="50" t="str">
        <f>[7]Drain!H50</f>
        <v>Kg</v>
      </c>
      <c r="E11" s="51">
        <f>[7]Drain!I50</f>
        <v>118.98</v>
      </c>
      <c r="F11" s="51">
        <f t="shared" si="0"/>
        <v>29982.959999999999</v>
      </c>
    </row>
    <row r="12" spans="1:6" ht="90">
      <c r="A12" s="47" t="str">
        <f>[7]Drain!A51</f>
        <v>85.8.43</v>
      </c>
      <c r="B12" s="48" t="str">
        <f>[7]Drain!B51</f>
        <v>Providing one coat of painting with ready mixed paint of approved shade and make over steel surface  including cleaning the surface thoroughly,scaffolding and taxes all complete as per building specification and direction of E/I</v>
      </c>
      <c r="C12" s="49">
        <f>[7]Drain!G58</f>
        <v>730.71</v>
      </c>
      <c r="D12" s="50" t="str">
        <f>D10</f>
        <v>M2</v>
      </c>
      <c r="E12" s="51">
        <f>[7]Drain!I58</f>
        <v>70.61</v>
      </c>
      <c r="F12" s="51">
        <f t="shared" si="0"/>
        <v>51595.43</v>
      </c>
    </row>
    <row r="13" spans="1:6">
      <c r="A13" s="47">
        <f>[7]Drain!A59</f>
        <v>9</v>
      </c>
      <c r="B13" s="48" t="str">
        <f>[7]Drain!B59</f>
        <v>Providing Welder Grade-I</v>
      </c>
      <c r="C13" s="49">
        <f>[7]Drain!C59</f>
        <v>20</v>
      </c>
      <c r="D13" s="50" t="str">
        <f>[7]Drain!H59</f>
        <v>Each</v>
      </c>
      <c r="E13" s="51">
        <f>[7]Drain!I59</f>
        <v>521.41999999999996</v>
      </c>
      <c r="F13" s="51">
        <f t="shared" si="0"/>
        <v>10428.4</v>
      </c>
    </row>
    <row r="14" spans="1:6" ht="222.4" customHeight="1">
      <c r="A14" s="47" t="str">
        <f>[7]Drain!A60</f>
        <v>1016.91.1</v>
      </c>
      <c r="B14" s="48" t="str">
        <f>[7]Drain!B60</f>
        <v>Providing and laying factory made chamfered edge Cement Concretepaver blocks in footpath, parks, lawns, drive ways or light trafficparking etc, of required strength, thickness &amp; size/ shape, made bytable vibratory method using PU mould, laid in required colour &amp;pattern over 50mm thick compacted bed of sand, compacting andproper embedding/laying of inter locking paver blocks into the sandbedding layer through vibratory compaction by using plate vibrator,filling the joints with sand and cutting of paver blocks as per requiredsize and pattern, finishing and sweeping extra sand. complete all asper direction of Engineer-in-Charge.</v>
      </c>
      <c r="C14" s="49">
        <f>[7]Drain!G65</f>
        <v>80.540000000000006</v>
      </c>
      <c r="D14" s="50" t="str">
        <f>D12</f>
        <v>M2</v>
      </c>
      <c r="E14" s="51">
        <f>[7]Drain!I65</f>
        <v>809.28</v>
      </c>
      <c r="F14" s="51">
        <f t="shared" si="0"/>
        <v>65179.41</v>
      </c>
    </row>
    <row r="15" spans="1:6" ht="72" customHeight="1">
      <c r="A15" s="47">
        <f>[7]Drain!A66</f>
        <v>11</v>
      </c>
      <c r="B15" s="48" t="str">
        <f>[7]Drain!B66</f>
        <v>RCC Bench</v>
      </c>
      <c r="C15" s="49">
        <f>[7]Drain!C66</f>
        <v>14</v>
      </c>
      <c r="D15" s="50" t="str">
        <f>[7]Drain!H66</f>
        <v>Each</v>
      </c>
      <c r="E15" s="51">
        <f>[7]Drain!I66</f>
        <v>9500</v>
      </c>
      <c r="F15" s="51">
        <f t="shared" si="0"/>
        <v>133000</v>
      </c>
    </row>
    <row r="16" spans="1:6">
      <c r="A16" s="53">
        <v>11</v>
      </c>
      <c r="B16" s="54" t="s">
        <v>33</v>
      </c>
      <c r="C16" s="55"/>
      <c r="D16" s="50"/>
      <c r="E16" s="51"/>
      <c r="F16" s="51"/>
    </row>
    <row r="17" spans="1:6">
      <c r="A17" s="56" t="s">
        <v>17</v>
      </c>
      <c r="B17" s="57" t="str">
        <f>[7]Drain!B68</f>
        <v>Sand  (Lead Upto 49 km)</v>
      </c>
      <c r="C17" s="49">
        <f>[7]Drain!G68</f>
        <v>2.89</v>
      </c>
      <c r="D17" s="50" t="str">
        <f>[7]Drain!H68</f>
        <v>M3</v>
      </c>
      <c r="E17" s="58">
        <f>[7]Drain!I68</f>
        <v>848.82</v>
      </c>
      <c r="F17" s="51">
        <f t="shared" si="0"/>
        <v>2453.09</v>
      </c>
    </row>
    <row r="18" spans="1:6">
      <c r="A18" s="56" t="s">
        <v>18</v>
      </c>
      <c r="B18" s="57" t="str">
        <f>[7]Drain!B69</f>
        <v>Stone Dust (Lead 22 KM)</v>
      </c>
      <c r="C18" s="49">
        <f>[7]Drain!G69</f>
        <v>5.3500000000000005</v>
      </c>
      <c r="D18" s="50" t="str">
        <f>[7]Drain!H69</f>
        <v>M3</v>
      </c>
      <c r="E18" s="58">
        <f>[7]Drain!I69</f>
        <v>447.06</v>
      </c>
      <c r="F18" s="51">
        <f t="shared" si="0"/>
        <v>2391.77</v>
      </c>
    </row>
    <row r="19" spans="1:6">
      <c r="A19" s="56" t="s">
        <v>19</v>
      </c>
      <c r="B19" s="57" t="str">
        <f>[7]Drain!B70</f>
        <v>Brick 8 km</v>
      </c>
      <c r="C19" s="49">
        <f>[7]Drain!G70</f>
        <v>435</v>
      </c>
      <c r="D19" s="50" t="str">
        <f>[7]Drain!H70</f>
        <v>Nos</v>
      </c>
      <c r="E19" s="58">
        <f>[7]Drain!I70</f>
        <v>755.2</v>
      </c>
      <c r="F19" s="51">
        <f>ROUND((C19*E19)/1000,2)</f>
        <v>328.51</v>
      </c>
    </row>
    <row r="20" spans="1:6">
      <c r="A20" s="56" t="s">
        <v>20</v>
      </c>
      <c r="B20" s="57" t="str">
        <f>[7]Drain!B71</f>
        <v>Stone Chips (Lead 22KM)</v>
      </c>
      <c r="C20" s="49">
        <f>[7]Drain!G71</f>
        <v>5.77</v>
      </c>
      <c r="D20" s="50" t="str">
        <f>[7]Drain!H71</f>
        <v>M3</v>
      </c>
      <c r="E20" s="58">
        <f>[7]Drain!I71</f>
        <v>447.06</v>
      </c>
      <c r="F20" s="51">
        <f t="shared" si="0"/>
        <v>2579.54</v>
      </c>
    </row>
    <row r="21" spans="1:6">
      <c r="A21" s="56" t="s">
        <v>21</v>
      </c>
      <c r="B21" s="57" t="str">
        <f>[7]Drain!B72</f>
        <v>Earth (Lead 01 KM)</v>
      </c>
      <c r="C21" s="49">
        <f>[7]Drain!G72</f>
        <v>22.39</v>
      </c>
      <c r="D21" s="50" t="str">
        <f>[7]Drain!H72</f>
        <v>M3</v>
      </c>
      <c r="E21" s="58">
        <f>[7]Drain!I72</f>
        <v>117.54</v>
      </c>
      <c r="F21" s="51">
        <f t="shared" si="0"/>
        <v>2631.72</v>
      </c>
    </row>
    <row r="22" spans="1:6" ht="18.75">
      <c r="A22" s="53"/>
      <c r="B22" s="54"/>
      <c r="C22" s="55"/>
      <c r="D22" s="50"/>
      <c r="E22" s="51" t="s">
        <v>38</v>
      </c>
      <c r="F22" s="59">
        <f>SUM(F5:F21)</f>
        <v>681322.91</v>
      </c>
    </row>
    <row r="23" spans="1:6" ht="18.75">
      <c r="A23" s="306" t="s">
        <v>39</v>
      </c>
      <c r="B23" s="306"/>
      <c r="C23" s="306"/>
      <c r="D23" s="306"/>
      <c r="E23" s="306"/>
      <c r="F23" s="59">
        <f>ROUND((F22*18%),2)</f>
        <v>122638.12</v>
      </c>
    </row>
    <row r="24" spans="1:6" ht="18.75">
      <c r="A24" s="306" t="s">
        <v>10</v>
      </c>
      <c r="B24" s="306" t="s">
        <v>10</v>
      </c>
      <c r="C24" s="306"/>
      <c r="D24" s="306"/>
      <c r="E24" s="306"/>
      <c r="F24" s="59">
        <f>F22+F23</f>
        <v>803961.03</v>
      </c>
    </row>
    <row r="25" spans="1:6" ht="18.75">
      <c r="A25" s="306" t="s">
        <v>40</v>
      </c>
      <c r="B25" s="306" t="s">
        <v>41</v>
      </c>
      <c r="C25" s="306"/>
      <c r="D25" s="306"/>
      <c r="E25" s="306"/>
      <c r="F25" s="59">
        <f>ROUND((F24*1%),2)</f>
        <v>8039.61</v>
      </c>
    </row>
    <row r="26" spans="1:6" ht="18.75">
      <c r="A26" s="306" t="s">
        <v>10</v>
      </c>
      <c r="B26" s="306" t="s">
        <v>10</v>
      </c>
      <c r="C26" s="306"/>
      <c r="D26" s="306"/>
      <c r="E26" s="306"/>
      <c r="F26" s="59">
        <f>F24+F25</f>
        <v>812000.64</v>
      </c>
    </row>
    <row r="27" spans="1:6" ht="18.75">
      <c r="A27" s="306" t="s">
        <v>42</v>
      </c>
      <c r="B27" s="306" t="s">
        <v>42</v>
      </c>
      <c r="C27" s="306"/>
      <c r="D27" s="306"/>
      <c r="E27" s="306"/>
      <c r="F27" s="59">
        <v>812000</v>
      </c>
    </row>
  </sheetData>
  <mergeCells count="8">
    <mergeCell ref="A26:E26"/>
    <mergeCell ref="A27:E27"/>
    <mergeCell ref="A1:F1"/>
    <mergeCell ref="A2:F2"/>
    <mergeCell ref="A3:F3"/>
    <mergeCell ref="A23:E23"/>
    <mergeCell ref="A24:E24"/>
    <mergeCell ref="A25:E2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2023-02-21T06:53:16Z</dcterms:created>
  <dcterms:modified xsi:type="dcterms:W3CDTF">2023-02-22T07:45:00Z</dcterms:modified>
</cp:coreProperties>
</file>