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drawings/drawing2.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Default Extension="jpeg" ContentType="image/jpeg"/>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drawings/drawing1.xml" ContentType="application/vnd.openxmlformats-officedocument.drawing+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 name="Sheet44" sheetId="44" r:id="rId44"/>
    <sheet name="Sheet45" sheetId="45" r:id="rId45"/>
    <sheet name="Sheet46" sheetId="46" r:id="rId46"/>
    <sheet name="Sheet47" sheetId="47" r:id="rId47"/>
    <sheet name="Sheet48" sheetId="48" r:id="rId48"/>
  </sheets>
  <externalReferences>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calcPr calcId="124519"/>
</workbook>
</file>

<file path=xl/calcChain.xml><?xml version="1.0" encoding="utf-8"?>
<calcChain xmlns="http://schemas.openxmlformats.org/spreadsheetml/2006/main">
  <c r="F19" i="8"/>
  <c r="E19"/>
  <c r="F18"/>
  <c r="E18"/>
  <c r="F17"/>
  <c r="E17"/>
  <c r="F16"/>
  <c r="E16"/>
  <c r="F15"/>
  <c r="E15"/>
  <c r="A14"/>
  <c r="E13"/>
  <c r="F13" s="1"/>
  <c r="B13"/>
  <c r="A13"/>
  <c r="E12"/>
  <c r="F12" s="1"/>
  <c r="A12"/>
  <c r="F11"/>
  <c r="E11"/>
  <c r="D11"/>
  <c r="B11"/>
  <c r="A11"/>
  <c r="E10"/>
  <c r="F10" s="1"/>
  <c r="B10"/>
  <c r="A10"/>
  <c r="E9"/>
  <c r="F9" s="1"/>
  <c r="B9"/>
  <c r="A9"/>
  <c r="E8"/>
  <c r="F8" s="1"/>
  <c r="A8"/>
  <c r="F7"/>
  <c r="E7"/>
  <c r="A7"/>
  <c r="F6"/>
  <c r="E6"/>
  <c r="A6"/>
  <c r="F5"/>
  <c r="E5"/>
  <c r="B5"/>
  <c r="A5"/>
  <c r="C16" i="13"/>
  <c r="F16" s="1"/>
  <c r="C15"/>
  <c r="F15" s="1"/>
  <c r="C14"/>
  <c r="F14" s="1"/>
  <c r="E13"/>
  <c r="F13" s="1"/>
  <c r="C13"/>
  <c r="C12"/>
  <c r="F12" s="1"/>
  <c r="F10"/>
  <c r="F8"/>
  <c r="F7"/>
  <c r="F6"/>
  <c r="F5"/>
  <c r="F20" i="8" l="1"/>
  <c r="F17" i="13"/>
  <c r="F22" i="8" l="1"/>
  <c r="F21"/>
  <c r="F18" i="13"/>
  <c r="F19" s="1"/>
  <c r="F24" i="8" l="1"/>
  <c r="F25" s="1"/>
  <c r="F23"/>
  <c r="F20" i="13"/>
  <c r="F21" s="1"/>
  <c r="C16" i="11" l="1"/>
  <c r="F16" s="1"/>
  <c r="C15"/>
  <c r="F15" s="1"/>
  <c r="C14"/>
  <c r="F14" s="1"/>
  <c r="E13"/>
  <c r="F13" s="1"/>
  <c r="C13"/>
  <c r="F12"/>
  <c r="C12"/>
  <c r="F10"/>
  <c r="C10"/>
  <c r="F8"/>
  <c r="C8"/>
  <c r="F7"/>
  <c r="C7"/>
  <c r="F6"/>
  <c r="C6"/>
  <c r="F5"/>
  <c r="F17" s="1"/>
  <c r="C5"/>
  <c r="B3"/>
  <c r="F16" i="46"/>
  <c r="F15"/>
  <c r="F14"/>
  <c r="F13"/>
  <c r="F12"/>
  <c r="F10"/>
  <c r="F9"/>
  <c r="F8"/>
  <c r="F7"/>
  <c r="F6"/>
  <c r="F5"/>
  <c r="F17" s="1"/>
  <c r="F18" s="1"/>
  <c r="F19" s="1"/>
  <c r="F20" s="1"/>
  <c r="F21" s="1"/>
  <c r="F18" i="39"/>
  <c r="F17"/>
  <c r="F16"/>
  <c r="F15"/>
  <c r="F14"/>
  <c r="F12"/>
  <c r="F11"/>
  <c r="F10"/>
  <c r="F9"/>
  <c r="F8"/>
  <c r="F7"/>
  <c r="F6"/>
  <c r="F5"/>
  <c r="F19" s="1"/>
  <c r="F18" i="11" l="1"/>
  <c r="F19" s="1"/>
  <c r="F20" i="39"/>
  <c r="F21" s="1"/>
  <c r="F20" i="11" l="1"/>
  <c r="F21" s="1"/>
  <c r="F22" i="39"/>
  <c r="F23" s="1"/>
  <c r="F23" i="41" l="1"/>
  <c r="F22"/>
  <c r="F21"/>
  <c r="F20"/>
  <c r="F19"/>
  <c r="F17"/>
  <c r="F16"/>
  <c r="F15"/>
  <c r="F14"/>
  <c r="F13"/>
  <c r="F12"/>
  <c r="F11"/>
  <c r="F10"/>
  <c r="F8"/>
  <c r="F7"/>
  <c r="F6"/>
  <c r="F24" s="1"/>
  <c r="F25" l="1"/>
  <c r="F26" s="1"/>
  <c r="F27" l="1"/>
  <c r="F28" s="1"/>
  <c r="F16" i="48" l="1"/>
  <c r="F15"/>
  <c r="F14"/>
  <c r="F13"/>
  <c r="F12"/>
  <c r="F10"/>
  <c r="F9"/>
  <c r="F8"/>
  <c r="F7"/>
  <c r="F6"/>
  <c r="F5"/>
  <c r="F17" s="1"/>
  <c r="F18" s="1"/>
  <c r="F19" s="1"/>
  <c r="F20" s="1"/>
  <c r="F21" s="1"/>
  <c r="F16" i="47"/>
  <c r="F15"/>
  <c r="F14"/>
  <c r="F13"/>
  <c r="F12"/>
  <c r="F10"/>
  <c r="F9"/>
  <c r="F8"/>
  <c r="F7"/>
  <c r="F6"/>
  <c r="F5"/>
  <c r="F17" s="1"/>
  <c r="F18" s="1"/>
  <c r="F19" s="1"/>
  <c r="F20" s="1"/>
  <c r="F21" s="1"/>
  <c r="F9" i="45"/>
  <c r="F8"/>
  <c r="F6"/>
  <c r="F5"/>
  <c r="F10" s="1"/>
  <c r="F15" i="44"/>
  <c r="F14"/>
  <c r="F13"/>
  <c r="C13"/>
  <c r="F12"/>
  <c r="C11"/>
  <c r="F11" s="1"/>
  <c r="F9"/>
  <c r="C9"/>
  <c r="F8"/>
  <c r="C8"/>
  <c r="F7"/>
  <c r="F6"/>
  <c r="F5"/>
  <c r="F16" s="1"/>
  <c r="C5"/>
  <c r="F15" i="43"/>
  <c r="F14"/>
  <c r="F13"/>
  <c r="C13"/>
  <c r="F12"/>
  <c r="C11"/>
  <c r="F11" s="1"/>
  <c r="C9"/>
  <c r="F9" s="1"/>
  <c r="C8"/>
  <c r="F8" s="1"/>
  <c r="F7"/>
  <c r="F6"/>
  <c r="F5"/>
  <c r="F16" s="1"/>
  <c r="F15" i="42"/>
  <c r="C14"/>
  <c r="F14" s="1"/>
  <c r="C13"/>
  <c r="F13" s="1"/>
  <c r="C12"/>
  <c r="F12" s="1"/>
  <c r="C11"/>
  <c r="F11" s="1"/>
  <c r="C9"/>
  <c r="F9" s="1"/>
  <c r="C8"/>
  <c r="F8" s="1"/>
  <c r="C7"/>
  <c r="F7" s="1"/>
  <c r="C6"/>
  <c r="F6" s="1"/>
  <c r="F5"/>
  <c r="F16" s="1"/>
  <c r="F11" i="45" l="1"/>
  <c r="F12" s="1"/>
  <c r="F17" i="44"/>
  <c r="F18" s="1"/>
  <c r="F17" i="43"/>
  <c r="F18" s="1"/>
  <c r="F17" i="42"/>
  <c r="F18" s="1"/>
  <c r="F13" i="45" l="1"/>
  <c r="F14" s="1"/>
  <c r="F19" i="44"/>
  <c r="F20" s="1"/>
  <c r="F19" i="43"/>
  <c r="F20" s="1"/>
  <c r="F19" i="42"/>
  <c r="F20" s="1"/>
  <c r="F15" i="40" l="1"/>
  <c r="F14"/>
  <c r="F13"/>
  <c r="F12"/>
  <c r="F11"/>
  <c r="F9"/>
  <c r="F8"/>
  <c r="F7"/>
  <c r="F6"/>
  <c r="C5"/>
  <c r="F5" s="1"/>
  <c r="F16" s="1"/>
  <c r="F17" l="1"/>
  <c r="F18" s="1"/>
  <c r="F19" l="1"/>
  <c r="F20" s="1"/>
  <c r="F15" i="38" l="1"/>
  <c r="F14"/>
  <c r="F13"/>
  <c r="F12"/>
  <c r="F11"/>
  <c r="F9"/>
  <c r="F8"/>
  <c r="F7"/>
  <c r="F6"/>
  <c r="F5"/>
  <c r="F16" s="1"/>
  <c r="F9" i="37"/>
  <c r="F8"/>
  <c r="F6"/>
  <c r="F5"/>
  <c r="F10" s="1"/>
  <c r="F15" i="36"/>
  <c r="F14"/>
  <c r="F13"/>
  <c r="F12"/>
  <c r="F11"/>
  <c r="F9"/>
  <c r="F8"/>
  <c r="F7"/>
  <c r="F6"/>
  <c r="F5"/>
  <c r="F16" s="1"/>
  <c r="F13" i="35"/>
  <c r="F12"/>
  <c r="F11"/>
  <c r="F10"/>
  <c r="F8"/>
  <c r="F7"/>
  <c r="F6"/>
  <c r="F5"/>
  <c r="F14" s="1"/>
  <c r="F15" i="34"/>
  <c r="F14"/>
  <c r="F13"/>
  <c r="F12"/>
  <c r="F11"/>
  <c r="F9"/>
  <c r="F8"/>
  <c r="F7"/>
  <c r="F6"/>
  <c r="F5"/>
  <c r="F16" s="1"/>
  <c r="C15" i="33"/>
  <c r="F15" s="1"/>
  <c r="C14"/>
  <c r="F14" s="1"/>
  <c r="C13"/>
  <c r="F13" s="1"/>
  <c r="C12"/>
  <c r="F12" s="1"/>
  <c r="C11"/>
  <c r="F11" s="1"/>
  <c r="C9"/>
  <c r="F9" s="1"/>
  <c r="C8"/>
  <c r="F8" s="1"/>
  <c r="C7"/>
  <c r="F7" s="1"/>
  <c r="C6"/>
  <c r="F6" s="1"/>
  <c r="C5"/>
  <c r="F5" s="1"/>
  <c r="F15" i="32"/>
  <c r="F14"/>
  <c r="F13"/>
  <c r="F12"/>
  <c r="F11"/>
  <c r="F9"/>
  <c r="F8"/>
  <c r="F7"/>
  <c r="F6"/>
  <c r="F5"/>
  <c r="F16" s="1"/>
  <c r="F16" i="33" l="1"/>
  <c r="F17" s="1"/>
  <c r="F18" s="1"/>
  <c r="F17" i="38"/>
  <c r="F18" s="1"/>
  <c r="F11" i="37"/>
  <c r="F12" s="1"/>
  <c r="F17" i="36"/>
  <c r="F18" s="1"/>
  <c r="F15" i="35"/>
  <c r="F16" s="1"/>
  <c r="F17" i="34"/>
  <c r="F18" s="1"/>
  <c r="F17" i="32"/>
  <c r="F18" s="1"/>
  <c r="F19" i="38" l="1"/>
  <c r="F20" s="1"/>
  <c r="F13" i="37"/>
  <c r="F14"/>
  <c r="F19" i="36"/>
  <c r="F20" s="1"/>
  <c r="F17" i="35"/>
  <c r="F18" s="1"/>
  <c r="F19" i="34"/>
  <c r="F20" s="1"/>
  <c r="F19" i="33"/>
  <c r="F20" s="1"/>
  <c r="F19" i="32"/>
  <c r="F20" s="1"/>
  <c r="E16" i="31" l="1"/>
  <c r="F16" s="1"/>
  <c r="E15"/>
  <c r="F15" s="1"/>
  <c r="F14"/>
  <c r="F13"/>
  <c r="E12"/>
  <c r="F12" s="1"/>
  <c r="A11"/>
  <c r="E10"/>
  <c r="F10"/>
  <c r="A10"/>
  <c r="E9"/>
  <c r="F9" s="1"/>
  <c r="A9"/>
  <c r="E8"/>
  <c r="F8" s="1"/>
  <c r="A8"/>
  <c r="F7"/>
  <c r="A7"/>
  <c r="E6"/>
  <c r="F6" s="1"/>
  <c r="A6"/>
  <c r="C5"/>
  <c r="F17" l="1"/>
  <c r="F18" l="1"/>
  <c r="F19" s="1"/>
  <c r="F22" l="1"/>
  <c r="F20"/>
  <c r="E9" i="30" l="1"/>
  <c r="C9"/>
  <c r="E8"/>
  <c r="C8"/>
  <c r="E6"/>
  <c r="C6"/>
  <c r="E5"/>
  <c r="C5"/>
  <c r="F5" l="1"/>
  <c r="F8"/>
  <c r="F6"/>
  <c r="F9"/>
  <c r="F10" l="1"/>
  <c r="F11" s="1"/>
  <c r="F12" s="1"/>
  <c r="F13" s="1"/>
  <c r="F14" s="1"/>
  <c r="E9" i="29" l="1"/>
  <c r="C9"/>
  <c r="E8"/>
  <c r="C8"/>
  <c r="E6"/>
  <c r="C6"/>
  <c r="E5"/>
  <c r="C5"/>
  <c r="F5" l="1"/>
  <c r="F8"/>
  <c r="F6"/>
  <c r="F9"/>
  <c r="F10" l="1"/>
  <c r="F11" s="1"/>
  <c r="F12" s="1"/>
  <c r="F13" s="1"/>
  <c r="F14" s="1"/>
  <c r="C15" i="28" l="1"/>
  <c r="F15" s="1"/>
  <c r="C14"/>
  <c r="F14" s="1"/>
  <c r="C13"/>
  <c r="F13" s="1"/>
  <c r="C12"/>
  <c r="F12" s="1"/>
  <c r="C11"/>
  <c r="F11" s="1"/>
  <c r="E9"/>
  <c r="C9"/>
  <c r="F9" s="1"/>
  <c r="E8"/>
  <c r="C8"/>
  <c r="E7"/>
  <c r="C7"/>
  <c r="F7" s="1"/>
  <c r="E6"/>
  <c r="C6"/>
  <c r="E5"/>
  <c r="C5"/>
  <c r="F5" s="1"/>
  <c r="F6" l="1"/>
  <c r="F8"/>
  <c r="F16" s="1"/>
  <c r="F17" s="1"/>
  <c r="F18" s="1"/>
  <c r="F19" l="1"/>
  <c r="F20" s="1"/>
  <c r="C15" i="27" l="1"/>
  <c r="F15" s="1"/>
  <c r="C14"/>
  <c r="F14" s="1"/>
  <c r="C13"/>
  <c r="F13" s="1"/>
  <c r="C12"/>
  <c r="F12" s="1"/>
  <c r="C11"/>
  <c r="F11" s="1"/>
  <c r="E9"/>
  <c r="C9"/>
  <c r="F9" s="1"/>
  <c r="E8"/>
  <c r="C8"/>
  <c r="E7"/>
  <c r="C7"/>
  <c r="F7" s="1"/>
  <c r="E6"/>
  <c r="C6"/>
  <c r="E5"/>
  <c r="C5"/>
  <c r="F5" s="1"/>
  <c r="F6" l="1"/>
  <c r="F8"/>
  <c r="F16" s="1"/>
  <c r="F17" s="1"/>
  <c r="F18" s="1"/>
  <c r="F19" l="1"/>
  <c r="F20" s="1"/>
  <c r="C15" i="26" l="1"/>
  <c r="F15" s="1"/>
  <c r="C14"/>
  <c r="F14" s="1"/>
  <c r="C13"/>
  <c r="F13" s="1"/>
  <c r="C12"/>
  <c r="F12" s="1"/>
  <c r="C11"/>
  <c r="F11" s="1"/>
  <c r="E9"/>
  <c r="C9"/>
  <c r="F9" s="1"/>
  <c r="E8"/>
  <c r="C8"/>
  <c r="E7"/>
  <c r="C7"/>
  <c r="F7" s="1"/>
  <c r="E6"/>
  <c r="C6"/>
  <c r="E5"/>
  <c r="C5"/>
  <c r="F5" s="1"/>
  <c r="F6" l="1"/>
  <c r="F8"/>
  <c r="F16" s="1"/>
  <c r="F17" s="1"/>
  <c r="F18" s="1"/>
  <c r="F19" l="1"/>
  <c r="F20" s="1"/>
  <c r="E9" i="25" l="1"/>
  <c r="C9"/>
  <c r="E8"/>
  <c r="C8"/>
  <c r="E6"/>
  <c r="C6"/>
  <c r="E5"/>
  <c r="C5"/>
  <c r="F5" l="1"/>
  <c r="F8"/>
  <c r="F6"/>
  <c r="F9"/>
  <c r="F10" l="1"/>
  <c r="F11" s="1"/>
  <c r="F12" s="1"/>
  <c r="F13" s="1"/>
  <c r="F14" s="1"/>
  <c r="E9" i="24" l="1"/>
  <c r="C9"/>
  <c r="E8"/>
  <c r="C8"/>
  <c r="E6"/>
  <c r="C6"/>
  <c r="E5"/>
  <c r="C5"/>
  <c r="F6" l="1"/>
  <c r="F9"/>
  <c r="F5"/>
  <c r="F10" s="1"/>
  <c r="F11" s="1"/>
  <c r="F8"/>
  <c r="F12" l="1"/>
  <c r="F13" s="1"/>
  <c r="F14" s="1"/>
  <c r="F15" s="1"/>
  <c r="E9" i="23" l="1"/>
  <c r="C9"/>
  <c r="E8"/>
  <c r="C8"/>
  <c r="E6"/>
  <c r="C6"/>
  <c r="E5"/>
  <c r="C5"/>
  <c r="F6" l="1"/>
  <c r="F9"/>
  <c r="F5"/>
  <c r="F10" s="1"/>
  <c r="F11" s="1"/>
  <c r="F8"/>
  <c r="F12" l="1"/>
  <c r="F13" s="1"/>
  <c r="F14" s="1"/>
  <c r="F15" s="1"/>
  <c r="C10" i="20" l="1"/>
  <c r="F10" s="1"/>
  <c r="C9"/>
  <c r="F9" s="1"/>
  <c r="C7"/>
  <c r="F7" s="1"/>
  <c r="C5"/>
  <c r="F5" s="1"/>
  <c r="F11" l="1"/>
  <c r="F12" l="1"/>
  <c r="F13" s="1"/>
  <c r="F14" l="1"/>
  <c r="F15" s="1"/>
  <c r="C10" i="19" l="1"/>
  <c r="F10" s="1"/>
  <c r="C9"/>
  <c r="F9" s="1"/>
  <c r="C7"/>
  <c r="F7" s="1"/>
  <c r="C5"/>
  <c r="F5" s="1"/>
  <c r="F11" l="1"/>
  <c r="F12" l="1"/>
  <c r="F13" s="1"/>
  <c r="F14" l="1"/>
  <c r="F15" s="1"/>
  <c r="F9" i="18" l="1"/>
  <c r="F7"/>
  <c r="F5"/>
  <c r="F11" l="1"/>
  <c r="F12" l="1"/>
  <c r="F13" s="1"/>
  <c r="F14" l="1"/>
  <c r="F15" s="1"/>
  <c r="C10" i="17" l="1"/>
  <c r="F10" s="1"/>
  <c r="C9"/>
  <c r="F9" s="1"/>
  <c r="C7"/>
  <c r="F7" s="1"/>
  <c r="C5"/>
  <c r="F5" s="1"/>
  <c r="F11" l="1"/>
  <c r="F12" l="1"/>
  <c r="F13" s="1"/>
  <c r="F14" l="1"/>
  <c r="F15" s="1"/>
  <c r="F10" i="16" l="1"/>
  <c r="F9"/>
  <c r="F6"/>
  <c r="F5"/>
  <c r="F11" s="1"/>
  <c r="F12" l="1"/>
  <c r="F13" s="1"/>
  <c r="F14" l="1"/>
  <c r="F15" s="1"/>
  <c r="C16" i="15" l="1"/>
  <c r="F16" s="1"/>
  <c r="C15"/>
  <c r="F15" s="1"/>
  <c r="C14"/>
  <c r="F14" s="1"/>
  <c r="C13"/>
  <c r="F13" s="1"/>
  <c r="C12"/>
  <c r="F12" s="1"/>
  <c r="F9"/>
  <c r="F8"/>
  <c r="F7"/>
  <c r="F6"/>
  <c r="F5"/>
  <c r="F17" l="1"/>
  <c r="F18" l="1"/>
  <c r="F19" s="1"/>
  <c r="F20" l="1"/>
  <c r="F21" s="1"/>
  <c r="C15" i="14" l="1"/>
  <c r="F15" s="1"/>
  <c r="C14"/>
  <c r="F14" s="1"/>
  <c r="C13"/>
  <c r="F13" s="1"/>
  <c r="F11"/>
  <c r="F9"/>
  <c r="F8"/>
  <c r="F7"/>
  <c r="F6"/>
  <c r="F5"/>
  <c r="F16" l="1"/>
  <c r="F17" s="1"/>
  <c r="F18" s="1"/>
  <c r="F19" l="1"/>
  <c r="F20" s="1"/>
  <c r="C16" i="12" l="1"/>
  <c r="F16" s="1"/>
  <c r="C15"/>
  <c r="F15" s="1"/>
  <c r="C14"/>
  <c r="F14" s="1"/>
  <c r="E13"/>
  <c r="F13" s="1"/>
  <c r="C13"/>
  <c r="C12"/>
  <c r="F12" s="1"/>
  <c r="F10"/>
  <c r="C10"/>
  <c r="C8"/>
  <c r="F8" s="1"/>
  <c r="F7"/>
  <c r="C7"/>
  <c r="C6"/>
  <c r="F6" s="1"/>
  <c r="F5"/>
  <c r="C5"/>
  <c r="B3"/>
  <c r="F17" l="1"/>
  <c r="F18" l="1"/>
  <c r="F19" s="1"/>
  <c r="F20" l="1"/>
  <c r="F21" s="1"/>
  <c r="F10" i="9" l="1"/>
  <c r="C10"/>
  <c r="F9"/>
  <c r="F11" s="1"/>
  <c r="C9"/>
  <c r="F13" l="1"/>
  <c r="F12"/>
  <c r="F15" l="1"/>
  <c r="F16" s="1"/>
  <c r="F14"/>
  <c r="F16" i="7" l="1"/>
  <c r="F15"/>
  <c r="F14"/>
  <c r="F13"/>
  <c r="F12"/>
  <c r="F10"/>
  <c r="F9"/>
  <c r="F8"/>
  <c r="F7"/>
  <c r="F6"/>
  <c r="F5"/>
  <c r="F17" s="1"/>
  <c r="F18" s="1"/>
  <c r="F19" s="1"/>
  <c r="F20" s="1"/>
  <c r="F21" s="1"/>
  <c r="E15" i="6" l="1"/>
  <c r="C15"/>
  <c r="E14"/>
  <c r="C14"/>
  <c r="E13"/>
  <c r="C13"/>
  <c r="E12"/>
  <c r="C12"/>
  <c r="B12"/>
  <c r="E11"/>
  <c r="C11"/>
  <c r="F11" s="1"/>
  <c r="E9"/>
  <c r="C9"/>
  <c r="F9" s="1"/>
  <c r="B9"/>
  <c r="A9"/>
  <c r="E8"/>
  <c r="C8"/>
  <c r="F8" s="1"/>
  <c r="B8"/>
  <c r="A8"/>
  <c r="E7"/>
  <c r="C7"/>
  <c r="F7" s="1"/>
  <c r="B7"/>
  <c r="A7"/>
  <c r="E6"/>
  <c r="C6"/>
  <c r="F6" s="1"/>
  <c r="B6"/>
  <c r="A6"/>
  <c r="E5"/>
  <c r="D5"/>
  <c r="C5"/>
  <c r="F5" s="1"/>
  <c r="B5"/>
  <c r="A5"/>
  <c r="A3"/>
  <c r="E20" i="5"/>
  <c r="C20"/>
  <c r="E19"/>
  <c r="C19"/>
  <c r="E18"/>
  <c r="C18"/>
  <c r="E17"/>
  <c r="C17"/>
  <c r="B17"/>
  <c r="E16"/>
  <c r="C16"/>
  <c r="F16" s="1"/>
  <c r="E14"/>
  <c r="D14"/>
  <c r="C14"/>
  <c r="F14" s="1"/>
  <c r="B14"/>
  <c r="A14"/>
  <c r="E13"/>
  <c r="F13" s="1"/>
  <c r="C13"/>
  <c r="B13"/>
  <c r="A13"/>
  <c r="F12"/>
  <c r="E12"/>
  <c r="D12"/>
  <c r="D13" s="1"/>
  <c r="C12"/>
  <c r="B12"/>
  <c r="A12"/>
  <c r="B11"/>
  <c r="A11"/>
  <c r="F10"/>
  <c r="E10"/>
  <c r="D10"/>
  <c r="C10"/>
  <c r="B10"/>
  <c r="A10"/>
  <c r="E9"/>
  <c r="C9"/>
  <c r="B9"/>
  <c r="A9"/>
  <c r="E8"/>
  <c r="C8"/>
  <c r="B8"/>
  <c r="A8"/>
  <c r="E7"/>
  <c r="C7"/>
  <c r="B7"/>
  <c r="A7"/>
  <c r="E6"/>
  <c r="D6"/>
  <c r="C6"/>
  <c r="F6" s="1"/>
  <c r="B6"/>
  <c r="A6"/>
  <c r="E5"/>
  <c r="D5"/>
  <c r="C5"/>
  <c r="B5"/>
  <c r="A5"/>
  <c r="A3"/>
  <c r="E15" i="4"/>
  <c r="C15"/>
  <c r="F15" s="1"/>
  <c r="B15"/>
  <c r="E14"/>
  <c r="C14"/>
  <c r="B14"/>
  <c r="E13"/>
  <c r="C13"/>
  <c r="F13" s="1"/>
  <c r="B13"/>
  <c r="E12"/>
  <c r="C12"/>
  <c r="B12"/>
  <c r="E11"/>
  <c r="C11"/>
  <c r="F11" s="1"/>
  <c r="B11"/>
  <c r="E9"/>
  <c r="C9"/>
  <c r="B9"/>
  <c r="A9"/>
  <c r="E8"/>
  <c r="C8"/>
  <c r="B8"/>
  <c r="A8"/>
  <c r="E7"/>
  <c r="C7"/>
  <c r="B7"/>
  <c r="A7"/>
  <c r="E6"/>
  <c r="C6"/>
  <c r="B6"/>
  <c r="A6"/>
  <c r="F5"/>
  <c r="E5"/>
  <c r="D5"/>
  <c r="C5"/>
  <c r="B5"/>
  <c r="A5"/>
  <c r="A3"/>
  <c r="E15" i="3"/>
  <c r="C15"/>
  <c r="F15" s="1"/>
  <c r="B15"/>
  <c r="E14"/>
  <c r="C14"/>
  <c r="B14"/>
  <c r="E13"/>
  <c r="C13"/>
  <c r="F13" s="1"/>
  <c r="B13"/>
  <c r="E12"/>
  <c r="C12"/>
  <c r="B12"/>
  <c r="E11"/>
  <c r="C11"/>
  <c r="F11" s="1"/>
  <c r="B11"/>
  <c r="E9"/>
  <c r="C9"/>
  <c r="B9"/>
  <c r="A9"/>
  <c r="E8"/>
  <c r="C8"/>
  <c r="B8"/>
  <c r="A8"/>
  <c r="E7"/>
  <c r="C7"/>
  <c r="B7"/>
  <c r="A7"/>
  <c r="E6"/>
  <c r="C6"/>
  <c r="B6"/>
  <c r="A6"/>
  <c r="E5"/>
  <c r="D5"/>
  <c r="C5"/>
  <c r="F5" s="1"/>
  <c r="B5"/>
  <c r="A5"/>
  <c r="A3"/>
  <c r="E15" i="2"/>
  <c r="C15"/>
  <c r="E14"/>
  <c r="C14"/>
  <c r="E13"/>
  <c r="C13"/>
  <c r="E12"/>
  <c r="C12"/>
  <c r="B12"/>
  <c r="E11"/>
  <c r="C11"/>
  <c r="F11" s="1"/>
  <c r="E9"/>
  <c r="C9"/>
  <c r="F9" s="1"/>
  <c r="B9"/>
  <c r="A9"/>
  <c r="E8"/>
  <c r="C8"/>
  <c r="F8" s="1"/>
  <c r="B8"/>
  <c r="A8"/>
  <c r="E7"/>
  <c r="C7"/>
  <c r="F7" s="1"/>
  <c r="B7"/>
  <c r="A7"/>
  <c r="E6"/>
  <c r="C6"/>
  <c r="F6" s="1"/>
  <c r="B6"/>
  <c r="A6"/>
  <c r="E5"/>
  <c r="D5"/>
  <c r="C5"/>
  <c r="F5" s="1"/>
  <c r="B5"/>
  <c r="A5"/>
  <c r="A3"/>
  <c r="F16" i="6" l="1"/>
  <c r="F18" s="1"/>
  <c r="F13" i="2"/>
  <c r="F15"/>
  <c r="F12" i="3"/>
  <c r="F6" i="4"/>
  <c r="F16" s="1"/>
  <c r="F17" s="1"/>
  <c r="F18" s="1"/>
  <c r="F7"/>
  <c r="F8"/>
  <c r="F9"/>
  <c r="F14"/>
  <c r="F5" i="5"/>
  <c r="F17"/>
  <c r="F19"/>
  <c r="F13" i="6"/>
  <c r="F15"/>
  <c r="F12" i="2"/>
  <c r="F16" s="1"/>
  <c r="F14"/>
  <c r="F6" i="3"/>
  <c r="F16" s="1"/>
  <c r="F7"/>
  <c r="F8"/>
  <c r="F9"/>
  <c r="F14"/>
  <c r="F12" i="4"/>
  <c r="F7" i="5"/>
  <c r="F8"/>
  <c r="F9"/>
  <c r="F18"/>
  <c r="F20"/>
  <c r="F12" i="6"/>
  <c r="F14"/>
  <c r="F17"/>
  <c r="F18" i="3" l="1"/>
  <c r="F17"/>
  <c r="F21" i="5"/>
  <c r="F22" s="1"/>
  <c r="F23" s="1"/>
  <c r="F24" s="1"/>
  <c r="F25" s="1"/>
  <c r="F26" s="1"/>
  <c r="F19" i="6"/>
  <c r="F20" s="1"/>
  <c r="F21" s="1"/>
  <c r="F19" i="4"/>
  <c r="F20" s="1"/>
  <c r="F21" s="1"/>
  <c r="F19" i="3"/>
  <c r="F20" s="1"/>
  <c r="F21" s="1"/>
  <c r="F17" i="2"/>
  <c r="F18" s="1"/>
  <c r="F20" l="1"/>
  <c r="F21" s="1"/>
  <c r="F19"/>
  <c r="F15" i="1" l="1"/>
  <c r="F14"/>
  <c r="F13"/>
  <c r="F12"/>
  <c r="F11"/>
  <c r="E9"/>
  <c r="F9"/>
  <c r="B9"/>
  <c r="A9"/>
  <c r="E8"/>
  <c r="F8"/>
  <c r="B8"/>
  <c r="A8"/>
  <c r="E7"/>
  <c r="F7"/>
  <c r="B7"/>
  <c r="A7"/>
  <c r="E6"/>
  <c r="F6"/>
  <c r="B6"/>
  <c r="A6"/>
  <c r="E5"/>
  <c r="F5" s="1"/>
  <c r="D5"/>
  <c r="B5"/>
  <c r="A5"/>
  <c r="F16" l="1"/>
  <c r="F17" s="1"/>
  <c r="F18" s="1"/>
  <c r="F19" l="1"/>
  <c r="F20" s="1"/>
  <c r="F21" s="1"/>
  <c r="E10" i="22" l="1"/>
  <c r="C10"/>
  <c r="E9"/>
  <c r="C9"/>
  <c r="A8"/>
  <c r="E7"/>
  <c r="C7"/>
  <c r="F7" s="1"/>
  <c r="B7"/>
  <c r="A7"/>
  <c r="E6"/>
  <c r="C6"/>
  <c r="F6" s="1"/>
  <c r="B6"/>
  <c r="A6"/>
  <c r="E5"/>
  <c r="F5" s="1"/>
  <c r="B5"/>
  <c r="A5"/>
  <c r="A3"/>
  <c r="F9" l="1"/>
  <c r="F10"/>
  <c r="F11"/>
  <c r="F12" l="1"/>
  <c r="F13" s="1"/>
  <c r="F14" l="1"/>
  <c r="F15" s="1"/>
  <c r="E10" i="21" l="1"/>
  <c r="C10"/>
  <c r="E9"/>
  <c r="C9"/>
  <c r="A8"/>
  <c r="E7"/>
  <c r="C7"/>
  <c r="F7" s="1"/>
  <c r="B7"/>
  <c r="A7"/>
  <c r="E6"/>
  <c r="C6"/>
  <c r="F6" s="1"/>
  <c r="B6"/>
  <c r="A6"/>
  <c r="E5"/>
  <c r="C5"/>
  <c r="F5" s="1"/>
  <c r="B5"/>
  <c r="A5"/>
  <c r="F10" l="1"/>
  <c r="F9"/>
  <c r="F11" s="1"/>
  <c r="F12" s="1"/>
  <c r="F13" s="1"/>
  <c r="F14" l="1"/>
  <c r="F15" s="1"/>
  <c r="E16" i="10" l="1"/>
  <c r="C16"/>
  <c r="E15"/>
  <c r="C15"/>
  <c r="E14"/>
  <c r="C14"/>
  <c r="E13"/>
  <c r="C13"/>
  <c r="E12"/>
  <c r="C12"/>
  <c r="A11"/>
  <c r="E10"/>
  <c r="C10"/>
  <c r="B10"/>
  <c r="A10"/>
  <c r="E9"/>
  <c r="C9"/>
  <c r="B9"/>
  <c r="A9"/>
  <c r="E8"/>
  <c r="C8"/>
  <c r="A8"/>
  <c r="E7"/>
  <c r="C7"/>
  <c r="A7"/>
  <c r="E6"/>
  <c r="C6"/>
  <c r="A6"/>
  <c r="E5"/>
  <c r="C5"/>
  <c r="B5"/>
  <c r="A5"/>
  <c r="A3"/>
  <c r="F7" l="1"/>
  <c r="F13"/>
  <c r="F15"/>
  <c r="F5"/>
  <c r="F12"/>
  <c r="F14"/>
  <c r="F16"/>
  <c r="F6"/>
  <c r="F8"/>
  <c r="F9"/>
  <c r="F10"/>
  <c r="F17" l="1"/>
  <c r="F18" s="1"/>
  <c r="F19" s="1"/>
  <c r="F20" s="1"/>
  <c r="F21" s="1"/>
</calcChain>
</file>

<file path=xl/sharedStrings.xml><?xml version="1.0" encoding="utf-8"?>
<sst xmlns="http://schemas.openxmlformats.org/spreadsheetml/2006/main" count="1818" uniqueCount="306">
  <si>
    <t>RANCHI MUNICIPAL CORPORATION, RANCHI</t>
  </si>
  <si>
    <t>Bill of Quantity</t>
  </si>
  <si>
    <t>S.No.</t>
  </si>
  <si>
    <t>Particulars or item of works</t>
  </si>
  <si>
    <t>Quantity</t>
  </si>
  <si>
    <t>Unit</t>
  </si>
  <si>
    <t xml:space="preserve">Rate          (in Rs.) </t>
  </si>
  <si>
    <t>Amount                     (in Rs.)</t>
  </si>
  <si>
    <t>M³</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</si>
  <si>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</si>
  <si>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</si>
  <si>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Supplying and laying (properly as per design and drawing )rip-rap with good quality of boulders duly packed including the cost of materials,royalty all taxes etc.but excluding the cost of carriage, all complete as per specification and direction of E/I.</t>
  </si>
  <si>
    <t>M²</t>
  </si>
  <si>
    <t>CARRIAGE OF MATERIALS</t>
  </si>
  <si>
    <t>(i)</t>
  </si>
  <si>
    <t>SAND -LEAD-49KM</t>
  </si>
  <si>
    <t>(ii)</t>
  </si>
  <si>
    <t>STONE DUST-LEAD-22KM</t>
  </si>
  <si>
    <t>(iii)</t>
  </si>
  <si>
    <t>STONE CHIPS-LEAD-22KM</t>
  </si>
  <si>
    <t>(iv)</t>
  </si>
  <si>
    <t>BOULDER-LEAD-36KM</t>
  </si>
  <si>
    <t>(v)</t>
  </si>
  <si>
    <t>EARTH-LEAD-01KM</t>
  </si>
  <si>
    <t>Total</t>
  </si>
  <si>
    <t>Add 18% GST</t>
  </si>
  <si>
    <t>Add 1% Labour Cess</t>
  </si>
  <si>
    <t>Say</t>
  </si>
  <si>
    <t xml:space="preserve">    J.E.</t>
  </si>
  <si>
    <t>A.E</t>
  </si>
  <si>
    <t>E.E.</t>
  </si>
  <si>
    <t>R.M.C.</t>
  </si>
  <si>
    <t>R.M.C</t>
  </si>
  <si>
    <t>SAND (Kanchi River)-LEAD-47KM</t>
  </si>
  <si>
    <t>STONE CHIPS-LEAD-20KM</t>
  </si>
  <si>
    <t>Add 1% Labour cess</t>
  </si>
  <si>
    <t>SAND-LEAD-42KM</t>
  </si>
  <si>
    <t>STONE CHIPS-LEAD-15KM</t>
  </si>
  <si>
    <t xml:space="preserve">BILL OF QUANTITY </t>
  </si>
  <si>
    <t>Sl. No.</t>
  </si>
  <si>
    <t>Items of work</t>
  </si>
  <si>
    <t>Qnty.</t>
  </si>
  <si>
    <t>Rate</t>
  </si>
  <si>
    <t>Amount</t>
  </si>
  <si>
    <t>M3</t>
  </si>
  <si>
    <t>M2</t>
  </si>
  <si>
    <t>Carriage of materials</t>
  </si>
  <si>
    <t>Sand  (Lead Upto 49 km)</t>
  </si>
  <si>
    <t>Stone Dust (Lead 22 KM)</t>
  </si>
  <si>
    <t>Stone Boulder (Lead 36  KM)</t>
  </si>
  <si>
    <t>Stone Chips (Lead 22KM)</t>
  </si>
  <si>
    <t>Earth (Lead 01 KM)</t>
  </si>
  <si>
    <t>TOTAL</t>
  </si>
  <si>
    <t>Add 18%  GST</t>
  </si>
  <si>
    <t>Add 1 % L Cess</t>
  </si>
  <si>
    <t xml:space="preserve">1% L Cess </t>
  </si>
  <si>
    <t>Name of Work:- Construction of PCC road at new nagar bandhgari, from house of krishna to house of sahdev Under Ward no-06.</t>
  </si>
  <si>
    <t>Labour for cleaning the work site before and after work etc.</t>
  </si>
  <si>
    <t>Each</t>
  </si>
  <si>
    <t>2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</si>
  <si>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</si>
  <si>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</si>
  <si>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 xml:space="preserve">3
4/M004 </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</si>
  <si>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</si>
  <si>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4
5.6.8 J.B.C.D</t>
  </si>
  <si>
    <t>Supplying and laying (properly as per design and drawing) rip-rap with good  quality of boulders duly packed including the cost of materials, royalty all taxes etc. but excluding the cost of carriage all complete as per specification and direction of E/I.</t>
  </si>
  <si>
    <t>5
J.B.C.D 5.3.1.1</t>
  </si>
  <si>
    <t>Providing and laying in position cement concrete of specified grade excluding the cost of centering and shutering  All work upto pilith level.1:1.5.3(1 Cement:1.5 coarse sand(zone iii):3graded stone Aggregate 20mm nomial size.</t>
  </si>
  <si>
    <t>6
   J.B.C.D 5.3.17.1</t>
  </si>
  <si>
    <t xml:space="preserve">Centering and shuttering including strutting , etc and removel of form for  foundation, footings bases of column etc for mass concrete.             </t>
  </si>
  <si>
    <t>m2</t>
  </si>
  <si>
    <t>Carriage of Materials</t>
  </si>
  <si>
    <t>i</t>
  </si>
  <si>
    <t>Sand (Lead 42 KM)</t>
  </si>
  <si>
    <t>ii</t>
  </si>
  <si>
    <t>Sand Local / Dust(Lead 15 KM)</t>
  </si>
  <si>
    <t>iii</t>
  </si>
  <si>
    <t>Stone Chips  (Lead 15 KM)</t>
  </si>
  <si>
    <t>iv</t>
  </si>
  <si>
    <t>BOULDER-LEAD-( 29 KM )</t>
  </si>
  <si>
    <t>v</t>
  </si>
  <si>
    <t>GST (18%)</t>
  </si>
  <si>
    <t>L. CESS (1%)</t>
  </si>
  <si>
    <t>BILL OF QUANTITY</t>
  </si>
  <si>
    <t>NAME OF WORK:-DETAIL ESTIMATE AND ABSTRACT OF COST FOR CONSTRUCTION OF P.C.C. ROAD ALBERT COMPOND UNDER WARD NO.16</t>
  </si>
  <si>
    <t>Sl No.</t>
  </si>
  <si>
    <t>PARTICULARS OR ITEM OF WORKS</t>
  </si>
  <si>
    <t>Rate in Rs.</t>
  </si>
  <si>
    <t>Amount in Rs.</t>
  </si>
  <si>
    <t>Providing man days for site clearence before and after the work etc.</t>
  </si>
  <si>
    <t>05. 5.3.17.1</t>
  </si>
  <si>
    <t>Centring and shuttring including strutting,propping etc. and removal of from for  Foundation, footings,bases of column,etc for mass concrete</t>
  </si>
  <si>
    <t>06.
 5.3.1.1</t>
  </si>
  <si>
    <t>Providing and laying in position cement concrete of specified grade excluding the cost of excluding cost of centring,shuttring-All work up to plinth level;1:1.5:3(1cement:1.5 coarse sand(zone-lll):3 grade stone agreegate 20mm nominal size)..........do…..all complete as per specification and direction of E/I.</t>
  </si>
  <si>
    <t>1.SAND-LEAD-49km</t>
  </si>
  <si>
    <t>3.CHIPS-LEAD-22km</t>
  </si>
  <si>
    <t>G.Total</t>
  </si>
  <si>
    <t xml:space="preserve">1.            5.1.1 </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</si>
  <si>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</si>
  <si>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Sl.No.4 M-004 P.No.36 BCD</t>
  </si>
  <si>
    <t>Stone Crusher Dust finer than 3 mm with not more than 10% Passing 0.075 sieve at quarry.        Baasic Rate  = 300.00                     add 15.95%(C.P+O.H+W.C.)=347.85</t>
  </si>
  <si>
    <t>3.      5.6.8</t>
  </si>
  <si>
    <t>4. 5.3.1.1</t>
  </si>
  <si>
    <r>
      <t xml:space="preserve">Providing and Layng in Position cement concrete of specified grade excluding the cost of centring and shuttering……All work Upto plinth Level:                       </t>
    </r>
    <r>
      <rPr>
        <b/>
        <sz val="10"/>
        <color theme="1"/>
        <rFont val="Century"/>
        <family val="1"/>
      </rPr>
      <t>1:1.5:3 (1 Cement :1.5 Coarse Cement sand  (Zone III): 3 Graded stone agregate 20 mm nominal Size)</t>
    </r>
  </si>
  <si>
    <t>5  5.3.17.1</t>
  </si>
  <si>
    <t xml:space="preserve">Centering and Shuttering including struting,propping etc and removal of from for                               </t>
  </si>
  <si>
    <t>Foundation, footing s bases of Coloumns etc for mass Concrete</t>
  </si>
  <si>
    <t>Sand  (Lead Upto 47 km)</t>
  </si>
  <si>
    <r>
      <t>M</t>
    </r>
    <r>
      <rPr>
        <vertAlign val="superscript"/>
        <sz val="10"/>
        <rFont val="Century"/>
        <family val="1"/>
      </rPr>
      <t>3</t>
    </r>
  </si>
  <si>
    <t>Sand (Lead 16 KM)</t>
  </si>
  <si>
    <t>Stone Boulder (Lead 34  KM)</t>
  </si>
  <si>
    <t>Stone Chips (Lead 20 KM)</t>
  </si>
  <si>
    <t>Add 18% GST (+)</t>
  </si>
  <si>
    <t>G. Total</t>
  </si>
  <si>
    <t>Add 1% Labour Cess (+)</t>
  </si>
  <si>
    <t>Name of Work :- Construction of P.C.C road  in Anandpuri Bhim Pandey Gali Under Ward No.26.</t>
  </si>
  <si>
    <t>1    5.2.34</t>
  </si>
  <si>
    <t xml:space="preserve">Providing  rough dressed course stone masonry in cement mortar (1:4) in foundation and plinth with hammer dressed stone of less than0 .03 M³ in volume and clean coarse sand of F.M. 2 to 2.5 including cost of screening ,raking out joints to 20mm depth,curing , taxes and royalty all complete , as per specification and direction of E/I.                                                                                                                                                                                                                                                                                                                                                                          </t>
  </si>
  <si>
    <t>2. 5.3.2.1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</si>
  <si>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</si>
  <si>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3   5.3.2 </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</si>
  <si>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</si>
  <si>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4. 5.3.30.1</t>
  </si>
  <si>
    <t>Providing  Precast R.C.C M 200 in nominal mix (1:1.5:3) in slab ……..do…..all complete as per specification and direction of E/I.</t>
  </si>
  <si>
    <t>5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</si>
  <si>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</si>
  <si>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</si>
  <si>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6  5.3.17.1</t>
  </si>
  <si>
    <r>
      <t>M</t>
    </r>
    <r>
      <rPr>
        <b/>
        <vertAlign val="superscript"/>
        <sz val="9"/>
        <rFont val="Century"/>
        <family val="1"/>
      </rPr>
      <t>3</t>
    </r>
  </si>
  <si>
    <t>Add 18% Labour Cess (+)</t>
  </si>
  <si>
    <r>
      <rPr>
        <b/>
        <sz val="11"/>
        <color theme="1"/>
        <rFont val="Century"/>
        <family val="1"/>
      </rPr>
      <t>Name of Work</t>
    </r>
    <r>
      <rPr>
        <sz val="11"/>
        <color theme="1"/>
        <rFont val="Century"/>
        <family val="1"/>
      </rPr>
      <t xml:space="preserve"> :- Construction of P.C.C road  in Swarn  Jyantinagar Kashi Chowrasia gali from Sarju Varnval to Keshri Bhawan  Under Ward No.27</t>
    </r>
  </si>
  <si>
    <t>Stone Dust (Lead 20 KM)</t>
  </si>
  <si>
    <t>1. 5.3.2.1</t>
  </si>
  <si>
    <t>2  5.3.17.1</t>
  </si>
  <si>
    <t>Add 18 % GST</t>
  </si>
  <si>
    <t>Add 1% L/Ces</t>
  </si>
  <si>
    <r>
      <rPr>
        <b/>
        <sz val="11"/>
        <color theme="1"/>
        <rFont val="Century"/>
        <family val="1"/>
      </rPr>
      <t>Name of Work</t>
    </r>
    <r>
      <rPr>
        <sz val="11"/>
        <color theme="1"/>
        <rFont val="Century"/>
        <family val="1"/>
      </rPr>
      <t xml:space="preserve"> :- Improvement of PCC Road in Madhukam Amrud Bagan Lane fro Ashok yadav house to Aditya Chowdhary House under ward no. 28.</t>
    </r>
  </si>
  <si>
    <t>1. 5.3.1.1</t>
  </si>
  <si>
    <t>Stone Chips (Lead 22 KM)</t>
  </si>
  <si>
    <t>Add 18 % Labour Cess (+)</t>
  </si>
  <si>
    <r>
      <rPr>
        <b/>
        <sz val="11"/>
        <color theme="1"/>
        <rFont val="Century"/>
        <family val="1"/>
      </rPr>
      <t>Name of Work</t>
    </r>
    <r>
      <rPr>
        <sz val="11"/>
        <color theme="1"/>
        <rFont val="Century"/>
        <family val="1"/>
      </rPr>
      <t xml:space="preserve"> :- Construction of P.C.C road  in Irgu Tola from house Chintu Jee to Road No. 8Under Ward No.27</t>
    </r>
  </si>
  <si>
    <r>
      <rPr>
        <b/>
        <sz val="11"/>
        <color theme="1"/>
        <rFont val="Century"/>
        <family val="1"/>
      </rPr>
      <t>Name of Work</t>
    </r>
    <r>
      <rPr>
        <sz val="11"/>
        <color theme="1"/>
        <rFont val="Century"/>
        <family val="1"/>
      </rPr>
      <t xml:space="preserve"> :- Construction of P.C.C road  in Shrinahr Sipahi Jee Gali Under Ward No.27.</t>
    </r>
  </si>
  <si>
    <t>1. 5.3.1.2</t>
  </si>
  <si>
    <t>1:1.5:3 (1 Cement :2 Coarse Cement sand  (Zone III): 3Graded stone agregate 20 mm nominal Size)</t>
  </si>
  <si>
    <t>Sand  (Lead Upto 42 km)</t>
  </si>
  <si>
    <t>Stone Chips (Lead 15 KM)</t>
  </si>
  <si>
    <t>.</t>
  </si>
  <si>
    <r>
      <rPr>
        <b/>
        <sz val="11"/>
        <color theme="1"/>
        <rFont val="Century"/>
        <family val="1"/>
      </rPr>
      <t>Name of Work</t>
    </r>
    <r>
      <rPr>
        <sz val="11"/>
        <color theme="1"/>
        <rFont val="Century"/>
        <family val="1"/>
      </rPr>
      <t xml:space="preserve"> :- Improvement of PCC Road in Near Shastri Chowk Madhukam Sanjay Jaiswal Gali and at Tiwari Gali near Surendra Chowdhary House under ward no. 28.</t>
    </r>
  </si>
  <si>
    <r>
      <rPr>
        <b/>
        <u/>
        <sz val="14"/>
        <color theme="1"/>
        <rFont val="Calibri"/>
        <family val="2"/>
        <scheme val="minor"/>
      </rPr>
      <t>NAME OF WORK</t>
    </r>
    <r>
      <rPr>
        <b/>
        <sz val="14"/>
        <color theme="1"/>
        <rFont val="Calibri"/>
        <family val="2"/>
        <scheme val="minor"/>
      </rPr>
      <t xml:space="preserve">  Improvement of pcc road at Aryapuri main road from Jp school to Rampyari Transformer under ward no 30 </t>
    </r>
  </si>
  <si>
    <t>1.
 5.3.1.1JBCD</t>
  </si>
  <si>
    <t>,</t>
  </si>
  <si>
    <t>2. 5.3.17.1   JBCD</t>
  </si>
  <si>
    <t>Centring and shuttring including strutting,propping etc. and removal of from for  Foundation, footings,bases of column,etc for mass concrete do….do…E/I</t>
  </si>
  <si>
    <t>(i).SAND-LEAD-49km</t>
  </si>
  <si>
    <t>(ii)CHIPS-LEAD-22km</t>
  </si>
  <si>
    <t>NAME OF WORK :- IMPROVEMENT OF P.C.C. ROAD AT ARYAPURI ROAD NO 1 FROM POPULAR NURSING HOME TO RP SINGH HOUSE UNDER WARD NO.30</t>
  </si>
  <si>
    <t>NAME OF WORK  IMPROVEMENT OF PCC ROAD AT INDRAPURI RD NO 13 FROM KRISHANA STORE TO MOHAN SINGH HOUSE UNDER WARD NO 30</t>
  </si>
  <si>
    <t>AE</t>
  </si>
  <si>
    <t>EE</t>
  </si>
  <si>
    <t>RMC</t>
  </si>
  <si>
    <t>Name of Work :- Improvement of PCC Road at Sukhdev nagar from Muskan beauty parlour to Mandar bhawan near Temple Under Ward no 31.</t>
  </si>
  <si>
    <t>Qnty</t>
  </si>
  <si>
    <t xml:space="preserve">1.            5.1.1 JBCD
</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</si>
  <si>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t>
  </si>
  <si>
    <r>
      <t>M</t>
    </r>
    <r>
      <rPr>
        <b/>
        <vertAlign val="superscript"/>
        <sz val="11"/>
        <rFont val="Century"/>
        <family val="1"/>
      </rPr>
      <t>3</t>
    </r>
  </si>
  <si>
    <t>2.  5.1.10 JBCD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</si>
  <si>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</si>
  <si>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5.6.8 COMMON SOR</t>
  </si>
  <si>
    <t>4.
 5.3.1.1 JBCD</t>
  </si>
  <si>
    <t xml:space="preserve">Providing and laying in positiopn cement concrete of specified grade excluding the cost of centering and shuttering  All work upto plinth level. - 1:1.5:3 ( 1 cement : 1.5 coarse sand :(zone iii) :3 graded stone aggeregate 20 mmnomial size).                                                       </t>
  </si>
  <si>
    <t>5.
3.1.17.1 JBCD</t>
  </si>
  <si>
    <t>Centering and shuttering including strutting, propping etc. and removel of form for foundation, footing ,base of column etc. for mass concrete do…..do….E/I.</t>
  </si>
  <si>
    <t>Local sand (Lead 14 KM)</t>
  </si>
  <si>
    <t>Add 1% Labour Cess (+) :</t>
  </si>
  <si>
    <t>Grand Total</t>
  </si>
  <si>
    <t xml:space="preserve">Say RS. </t>
  </si>
  <si>
    <t>Name of Work :- Construction of PCC Road near Devi mandap road from Prem kumar gupta's house to Tashvir kumar veer's house Under Ward no 31.</t>
  </si>
  <si>
    <t xml:space="preserve">ADD 18% GST  (+)   </t>
  </si>
  <si>
    <r>
      <rPr>
        <b/>
        <u/>
        <sz val="14"/>
        <color theme="1"/>
        <rFont val="Calibri"/>
        <family val="2"/>
        <scheme val="minor"/>
      </rPr>
      <t>NAME OF WORK</t>
    </r>
    <r>
      <rPr>
        <b/>
        <sz val="14"/>
        <color theme="1"/>
        <rFont val="Calibri"/>
        <family val="2"/>
        <scheme val="minor"/>
      </rPr>
      <t xml:space="preserve"> :- IMPROVEMENT OF P.C.C. ROAD AT INDRPURI ROAD NO 6 FROM PHULKUSH SHARMA HOUSE TO SUNIL YADAV HOUSE VIA SURESH THAKUR HOUSE UNDER WARD NO.31</t>
    </r>
  </si>
  <si>
    <t>2 .(.J.B.C.D.5.1.1.</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</si>
  <si>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t>
  </si>
  <si>
    <t>3.        (J.B.C.D.-5.1.10)</t>
  </si>
  <si>
    <t>4.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</si>
  <si>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</si>
  <si>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05.    5.3.17.1</t>
  </si>
  <si>
    <t>.SAND-LEAD-49km</t>
  </si>
  <si>
    <t>.SAND LOCAL-LEAD-14KM</t>
  </si>
  <si>
    <t>.CHIPS-LEAD-22km</t>
  </si>
  <si>
    <t>.BOULDER-LEAD-36KM</t>
  </si>
  <si>
    <t>.EARTH-LEAD-01km</t>
  </si>
  <si>
    <t>NAME OF WORK :- IMPROVEMENT OF P.C.C. ROAD AT MUSLIM BASTI GALI NO 1  FROM KAMRUN CHISHA HOUSE TO JAVIR HUSAIN HOUSE UNDER WARD NO.32</t>
  </si>
  <si>
    <t xml:space="preserve">1
5.3.2.1
</t>
  </si>
  <si>
    <t>2
5.3.17.1</t>
  </si>
  <si>
    <t xml:space="preserve">Centring and shuttering including strutting ,propping etc and removal of form from Foundations,footings,base of column etc </t>
  </si>
  <si>
    <t>Sand (Lead 49KM)</t>
  </si>
  <si>
    <t>Stone Chips  (Lead 22KM)</t>
  </si>
  <si>
    <t>NAME OF WORK :-IMPROVEMENT OF PCC RD AT BHATHI MOHALLA FROM GUPTESHVAR SAHU HOUSE TO LALU SAHU HOUSE UNDER WARD NO 32.</t>
  </si>
  <si>
    <t>Sand (Lead49 KM)</t>
  </si>
  <si>
    <t>Stone Chips  (Lead 22 KM)</t>
  </si>
  <si>
    <t>Labour for site clearence before and after the work etc.</t>
  </si>
  <si>
    <t>NO</t>
  </si>
  <si>
    <t xml:space="preserve">Providing and laying in position concrete of specified grade excluding the cost of centering and shuttering- All work upto plinth level : 1:1½:3 (1 cemet : 1½ coarse sand (zone-iii) : 3 graded stone aggregate 20mm nominal size )  </t>
  </si>
  <si>
    <t>Centering and shuttering including strutting, propping etc. and removal of from for Foundations,footings, bases of columns, etc. for mass concrete.</t>
  </si>
  <si>
    <t>LOCAL SAND-LEAD-18KM</t>
  </si>
  <si>
    <t>BOULDER-LEAD-29KM</t>
  </si>
  <si>
    <t>EARTH-LEAD-1km</t>
  </si>
  <si>
    <t>Add 1% LABUR CASE</t>
  </si>
  <si>
    <t>sinbord</t>
  </si>
  <si>
    <t xml:space="preserve"> </t>
  </si>
  <si>
    <t xml:space="preserve">RANCHI MUNICIPAL CORPORATION,RANCHI
</t>
  </si>
  <si>
    <t>NAME OF WORK- CONSTRUCTION OF PCC ROAD AT RAJNAGAR FROM HOUSE OF SURENDER PRASAD TO HOUSE OF MISHRA JI UNDER WARD46.</t>
  </si>
  <si>
    <t xml:space="preserve">Rate      (in Rs.) </t>
  </si>
  <si>
    <t>Amount   (in Rs.)</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</si>
  <si>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</si>
  <si>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</si>
  <si>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2.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</si>
  <si>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</si>
  <si>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3.        (J.B.C.D.-8.6.8)</t>
  </si>
  <si>
    <t>4   5.3.17</t>
  </si>
  <si>
    <t>Centering and shuttering including strutting, propping etc. and removal of form for Foundation, footing, bases of columns, etc for mass concrete</t>
  </si>
  <si>
    <t>JSR
5.3.1.2</t>
  </si>
  <si>
    <t>Providing and laying in position cement concrete of specfied grade excluding the cost of centering and shuttering-All work up to plinth level.1:1.5:3(1Cement:1.5coarse sand(Zone-III): 3 graded stone aggregate 20mm nominal size)</t>
  </si>
  <si>
    <t>SAND LOCAL-LEAD-18KM</t>
  </si>
  <si>
    <t>CHIPS-LEAD-15KM</t>
  </si>
  <si>
    <t>Add GST 18%</t>
  </si>
  <si>
    <t>Add 1% L/Cess</t>
  </si>
  <si>
    <t>NAME OF WORK- CONSTRUCTION OF PCC ROAD AT VINDYAVASINI NAGAR ROAD 3 FROM HOUSE OF RAJU JI TO HOUSE OF DOWN SIDE SARIK MINZ UNDER WARD46.</t>
  </si>
  <si>
    <t>NAME OF WORK- CONSTRUCTION OF PCC ROAD AT  DWARIKAPURI ROAD 8 FROM HOUSE OF ASHOK JI TO HOUSE OF JAGDISH TILES MISTRI UNDER WARD46.</t>
  </si>
  <si>
    <t>NAME OF WORK- CONSTRUCTION OF PCC ROAD FROM CLUB HOUSE TO PURULIYA ROAD DOLLY HOUSE UNDER WARD47.</t>
  </si>
  <si>
    <t>1.        (J.B.C.D.-5.1.10)</t>
  </si>
  <si>
    <t>2.        (J.B.C.D.-8.6.8)</t>
  </si>
  <si>
    <t>3   5.3.17</t>
  </si>
  <si>
    <t>4 JSR
5.3.1.2</t>
  </si>
  <si>
    <t>NAME OF WORK- CONSTRUCTION OF PCC ROAD AT JORAR MUNDA MASNA UNDER WARD47.</t>
  </si>
  <si>
    <t>NAME OF WORK- CONSTRUCTION OF PCC ROAD FROM MAIN ROAD TO DR. UMESH PANDAY NURSING UNDER WARD48.</t>
  </si>
  <si>
    <t>1   5.3.17</t>
  </si>
  <si>
    <t>2 JSR
5.3.1.2</t>
  </si>
  <si>
    <t>NAME OF WORK- CONSTRUCTION OF PCC ROAD AT KHUSBOO TOLI FROM MAIN ROAD TO HOUSE OF RAJNI  JI UNDER WARD48.</t>
  </si>
  <si>
    <t>NAME OF WORK- CONSTRUCTION OF PCC ROAD AT LAXMIPARA  NEAR HOUSE OF ALOK DUBEY JI UNDER WARD48.</t>
  </si>
  <si>
    <t>NAME OF WORK- CONSTRUCTION OF PCC ROAD AT NIZAMNAGAR ROAD NO 1&amp;ROAD NO 2  UNDER WARD49.</t>
  </si>
  <si>
    <t>NAME OF WORK- CONSTRUCTION OF PCC ROAD AT GAUSNAGAR ROAD NO3 FROM  MANTU SHOP TO HOUSE OF NANHE MOLANA AND FIRDOUS NAGAR ROAD NO 1 FROM RASHID CEMENT SHOP TO HOUSE OF MD. SHAHID UNDER WARD49.</t>
  </si>
  <si>
    <t>NAME OF WORK- CONSTRUCTION OF PCC ROAD AT MANITOLA HAZRAT ALI CHOWK FROM HOUSE OF SAJID TO HOUSE OF SOHAIL ANDFROM HOUSE OF  SHAJAD TO HOUSE OF JAMAL  UNDER WARD49.</t>
  </si>
  <si>
    <t>NAME OF WORK- CONSTRUCTION OF PCC ROAD AT  MANITOLA FROM ANWAR DUKAN TO HOUSE OF SAMAD AND BESIDE OF MASJID UNDER WARD49.</t>
  </si>
  <si>
    <t>Name of Work :- Construction of PCC road under ward-53 balsiring at plant road from mandir to ajit minz.</t>
  </si>
  <si>
    <t>1
5.1.1 +5.1.2</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</si>
  <si>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</si>
  <si>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</si>
  <si>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3
5.6.8 J.B.C.D</t>
  </si>
  <si>
    <t>4
J.B.C.D 5.3.1.1</t>
  </si>
  <si>
    <t>5
   J.B.C.D 5.3.17.1</t>
  </si>
  <si>
    <t>6
DSR
2019
16.91.2</t>
  </si>
  <si>
    <t>Providing and laying factory made chamfered edge cement concrete paver blocks in footpath,parks lawns drive ways or light traffic parking etc, required strength,thickness &amp; size and shape ,made by table vibratory method... do.......E/I.</t>
  </si>
  <si>
    <t xml:space="preserve"> Sand with lead of 42 km</t>
  </si>
  <si>
    <t>Local Sand with lead of 18 km</t>
  </si>
  <si>
    <t>Stone Boulder with lead of 29 km</t>
  </si>
  <si>
    <t>Stone chips with lead of 15 km</t>
  </si>
  <si>
    <t>Earth (lead 01 KM)</t>
  </si>
  <si>
    <t>Name of Work :- Improvement of road under ward no-53 ring road bagicha toli from ring road to jivan bodra house</t>
  </si>
  <si>
    <t>NAME OF WORK- CONSTRUCTION OF DRAIN AT KUMARTOLI FROM HOUSE OF AGAD SINGH TO HOUSE OF CHOUDARY UNDER WARD48.</t>
  </si>
  <si>
    <t>4   JSR
5.3.1</t>
  </si>
  <si>
    <t>Providing and laying in position cement concrete of specfied grade excluding the cost of centering and shuttering-All work up to plinth level.</t>
  </si>
  <si>
    <t>1:2:4(1Cement:2coarse sand(Zone-III): 4 graded stone aggregate 20mm nominal size)</t>
  </si>
  <si>
    <t>5              5.2.34</t>
  </si>
  <si>
    <t>Providing rough dress course masonry in cement mortar (1:4) in foundation and plinth with hammer dressed stone ……………………………. all complete as per specification and direction of E/I</t>
  </si>
  <si>
    <t>6 5.7.11+5.7.12</t>
  </si>
  <si>
    <t>Providing 25mm thick cement plaster (1:4) with clean course sand F.M 1.5 includin screening curing with all leads and lifts of water, scaffoling taxes and royality all complete as per specification and direction of E/I with 1.5 mm cement punning</t>
  </si>
  <si>
    <t>7   5.3.11</t>
  </si>
  <si>
    <t>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t>
  </si>
  <si>
    <t>8   5.3.17</t>
  </si>
  <si>
    <t>Centering and shuttering including strutting, propping etc. and removal of form for</t>
  </si>
  <si>
    <t>5.3.17.1</t>
  </si>
  <si>
    <t>Foundation, footing, bases of columns, etc for mass concrete</t>
  </si>
  <si>
    <t>9 5.5.5</t>
  </si>
  <si>
    <t>Providing Tor steel reinforcement of 10mm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</si>
  <si>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Providing Tor steel reinforcement of 8mm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</si>
  <si>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</si>
  <si>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ADD GST 18%</t>
  </si>
  <si>
    <t>ADD 1% L.CESS</t>
  </si>
  <si>
    <t>1.                5.1.1</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</si>
  <si>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</si>
  <si>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2.                5.1.10</t>
  </si>
  <si>
    <t>3.                  5.6.8</t>
  </si>
  <si>
    <t>Supplying and laying (properly as per design and drawing ) rip-rap with good quality of boulders duly packed including the cost of materials,royalty all taxes etc.but excluding the cost of carriage, all complete as per specification and direction of E/I.</t>
  </si>
  <si>
    <t>4.                                    5.3.10</t>
  </si>
  <si>
    <t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t>
  </si>
  <si>
    <t>5                  5.3.11</t>
  </si>
  <si>
    <t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</si>
  <si>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6 5.5.4</t>
  </si>
  <si>
    <t>Providing Tor steel reinforce 8mm dia rods  as per approved -----do-----do-----TMT Fe 500(Only valid for Tata (Tiscon),SAIL,JSPL,Electrosteel Steels Ltd, Bokaro and Vizag(RINL)</t>
  </si>
  <si>
    <t>7 5.5.5</t>
  </si>
  <si>
    <t>Providing Tor steel reinforcement of  10mm dia rods  as per approved -----do-----do-----TMT Fe 500(Only valid for Tata (Tiscon),SAIL,JSPL,Electrosteel Steels Ltd, Bokaro and Vizag(RINL)</t>
  </si>
  <si>
    <t>8                5.3.17.1</t>
  </si>
  <si>
    <t>SAND-LEAD-42km</t>
  </si>
  <si>
    <t>SAND LOCAL-LEAD-18 KM</t>
  </si>
  <si>
    <t>CHIPS-LEAD-15 km</t>
  </si>
  <si>
    <t>BOULDER-LEAD-29 km</t>
  </si>
  <si>
    <t>Name of Work :- Improvement of road under ward no-51 vikash nagar oad no-01.</t>
  </si>
  <si>
    <r>
      <t xml:space="preserve">Name of Work :- </t>
    </r>
    <r>
      <rPr>
        <b/>
        <sz val="11"/>
        <color theme="1"/>
        <rFont val="Kruti Dev 010"/>
      </rPr>
      <t>vkuUn uxj eas guqeku eanfj ds ikl vtqZuh dksVst esa vkse izdk'k flag ds ?kj rd ih0 lh0 lh0 iFk dk fuekZ.k dk;ZA</t>
    </r>
  </si>
  <si>
    <r>
      <rPr>
        <b/>
        <sz val="11"/>
        <color theme="1"/>
        <rFont val="Century"/>
        <family val="1"/>
      </rPr>
      <t>Name of Work</t>
    </r>
    <r>
      <rPr>
        <sz val="11"/>
        <color theme="1"/>
        <rFont val="Century"/>
        <family val="1"/>
      </rPr>
      <t xml:space="preserve"> :-</t>
    </r>
    <r>
      <rPr>
        <sz val="14"/>
        <color theme="1"/>
        <rFont val="Kruti Dev 010"/>
      </rPr>
      <t>eksnh gkb~ZV esa iznhi jtxfM;k ls nok nqdku rd ih0 lh0 lh0 iFk dk fuekZ.k dk;ZA</t>
    </r>
  </si>
  <si>
    <r>
      <rPr>
        <b/>
        <sz val="9"/>
        <color theme="1"/>
        <rFont val="Century"/>
        <family val="1"/>
      </rPr>
      <t>Name of Work</t>
    </r>
    <r>
      <rPr>
        <sz val="9"/>
        <color theme="1"/>
        <rFont val="Century"/>
        <family val="1"/>
      </rPr>
      <t xml:space="preserve"> :-</t>
    </r>
    <r>
      <rPr>
        <b/>
        <sz val="9"/>
        <color theme="1"/>
        <rFont val="Century"/>
        <family val="1"/>
      </rPr>
      <t>CONSTRUCTION OF PCC R0AD AT KMBA TOLI WATER TANK TO HOUSE OF SUNIL JEE UNDER WARD NO-36</t>
    </r>
  </si>
  <si>
    <r>
      <rPr>
        <b/>
        <sz val="10"/>
        <color theme="1"/>
        <rFont val="Century"/>
        <family val="1"/>
      </rPr>
      <t>Name of Work</t>
    </r>
    <r>
      <rPr>
        <sz val="10"/>
        <color theme="1"/>
        <rFont val="Century"/>
        <family val="1"/>
      </rPr>
      <t xml:space="preserve"> :- CONSTRUCTION OF RCC DRAIN AT KUMARTOLI FROM  HOUSE OF SUSHIL MINZ TO RIVER VIA HOUSE OF  MAHESH JI UNDER WARD 48.</t>
    </r>
  </si>
  <si>
    <r>
      <rPr>
        <b/>
        <sz val="11"/>
        <color theme="1"/>
        <rFont val="Century"/>
        <family val="1"/>
      </rPr>
      <t>Name of Work</t>
    </r>
    <r>
      <rPr>
        <sz val="11"/>
        <color theme="1"/>
        <rFont val="Century"/>
        <family val="1"/>
      </rPr>
      <t xml:space="preserve"> :- Construction of P.C.C road  in Harmu Housing Colony at Weeker Section 07 and 08.</t>
    </r>
  </si>
  <si>
    <r>
      <t xml:space="preserve">Name of Work :- </t>
    </r>
    <r>
      <rPr>
        <b/>
        <sz val="14"/>
        <color theme="1"/>
        <rFont val="Kruti Dev 010"/>
      </rPr>
      <t xml:space="preserve">lkeykSax esa jkecyh egrks] csycxku  ,oa xqIrk gkWVy ds ihNs ,oa lksrhu HkV~Vkpk;Z ds ?kj ds ikl ih0 lh0 lh0 iFk dk fuekZ.k dk;ZA  </t>
    </r>
  </si>
  <si>
    <t>Name of Work :-CONSTRUCTION OF RCC DRAIN AT SAMLONG BEL BAGAN ANUJ SHARMA HOUSE TO BIRENDRA JI HOUSE  UNDER WARD NO-13</t>
  </si>
  <si>
    <t>Boulder -(Lead 29 KM )</t>
  </si>
  <si>
    <t>Add 1% LABOUR CESS</t>
  </si>
</sst>
</file>

<file path=xl/styles.xml><?xml version="1.0" encoding="utf-8"?>
<styleSheet xmlns="http://schemas.openxmlformats.org/spreadsheetml/2006/main">
  <numFmts count="2">
    <numFmt numFmtId="164" formatCode="&quot;₹&quot;\ #,##0.00"/>
    <numFmt numFmtId="165" formatCode="0.000"/>
  </numFmts>
  <fonts count="67">
    <font>
      <sz val="11"/>
      <color theme="1"/>
      <name val="Calibri"/>
      <family val="2"/>
      <scheme val="minor"/>
    </font>
    <font>
      <b/>
      <sz val="20"/>
      <color theme="1"/>
      <name val="Arial"/>
      <family val="2"/>
    </font>
    <font>
      <b/>
      <sz val="16"/>
      <color theme="1"/>
      <name val="Arial"/>
      <family val="2"/>
    </font>
    <font>
      <sz val="11"/>
      <color theme="1"/>
      <name val="Arial"/>
      <family val="2"/>
    </font>
    <font>
      <b/>
      <sz val="11"/>
      <color theme="1"/>
      <name val="Arial"/>
      <family val="2"/>
    </font>
    <font>
      <b/>
      <sz val="12"/>
      <color theme="1"/>
      <name val="Arial"/>
      <family val="2"/>
    </font>
    <font>
      <sz val="12"/>
      <color theme="1"/>
      <name val="Arial"/>
      <family val="2"/>
    </font>
    <font>
      <b/>
      <sz val="14"/>
      <color theme="1"/>
      <name val="Arial"/>
      <family val="2"/>
    </font>
    <font>
      <b/>
      <sz val="20"/>
      <color theme="1"/>
      <name val="Century"/>
      <family val="1"/>
    </font>
    <font>
      <b/>
      <sz val="14"/>
      <color theme="1"/>
      <name val="Century"/>
      <family val="1"/>
    </font>
    <font>
      <sz val="11"/>
      <color theme="1"/>
      <name val="Century"/>
      <family val="1"/>
    </font>
    <font>
      <b/>
      <sz val="11"/>
      <color theme="1"/>
      <name val="Century"/>
      <family val="1"/>
    </font>
    <font>
      <b/>
      <sz val="12"/>
      <color theme="1"/>
      <name val="Calibri"/>
      <family val="2"/>
      <scheme val="minor"/>
    </font>
    <font>
      <sz val="12"/>
      <color theme="1"/>
      <name val="Calibri"/>
      <family val="2"/>
      <scheme val="minor"/>
    </font>
    <font>
      <b/>
      <sz val="14"/>
      <color theme="1"/>
      <name val="Calibri"/>
      <family val="2"/>
      <scheme val="minor"/>
    </font>
    <font>
      <b/>
      <sz val="10"/>
      <color theme="1"/>
      <name val="Arial"/>
      <family val="2"/>
    </font>
    <font>
      <sz val="10"/>
      <color theme="1"/>
      <name val="Arial"/>
      <family val="2"/>
    </font>
    <font>
      <sz val="10"/>
      <name val="Arial"/>
      <family val="2"/>
    </font>
    <font>
      <b/>
      <sz val="11"/>
      <color theme="1"/>
      <name val="Calibri"/>
      <family val="2"/>
      <scheme val="minor"/>
    </font>
    <font>
      <b/>
      <sz val="16"/>
      <color theme="1"/>
      <name val="Calibri"/>
      <family val="2"/>
      <scheme val="minor"/>
    </font>
    <font>
      <b/>
      <sz val="10"/>
      <color theme="1"/>
      <name val="Century"/>
      <family val="1"/>
    </font>
    <font>
      <b/>
      <sz val="22"/>
      <color theme="1"/>
      <name val="Calibri"/>
      <family val="2"/>
      <scheme val="minor"/>
    </font>
    <font>
      <b/>
      <sz val="12"/>
      <color theme="1"/>
      <name val="Century"/>
      <family val="1"/>
    </font>
    <font>
      <sz val="12"/>
      <color theme="1"/>
      <name val="Century"/>
      <family val="1"/>
    </font>
    <font>
      <b/>
      <sz val="12"/>
      <color theme="1"/>
      <name val="Calibri"/>
      <family val="2"/>
    </font>
    <font>
      <b/>
      <sz val="18"/>
      <color theme="1"/>
      <name val="Century"/>
      <family val="1"/>
    </font>
    <font>
      <sz val="10"/>
      <color theme="1"/>
      <name val="Calibri"/>
      <family val="2"/>
      <scheme val="minor"/>
    </font>
    <font>
      <sz val="18"/>
      <color theme="1"/>
      <name val="Century"/>
      <family val="1"/>
    </font>
    <font>
      <sz val="10"/>
      <color theme="1"/>
      <name val="Century"/>
      <family val="1"/>
    </font>
    <font>
      <sz val="10.5"/>
      <color theme="1"/>
      <name val="Century"/>
      <family val="1"/>
    </font>
    <font>
      <sz val="10"/>
      <name val="Century"/>
      <family val="1"/>
    </font>
    <font>
      <vertAlign val="superscript"/>
      <sz val="10"/>
      <name val="Century"/>
      <family val="1"/>
    </font>
    <font>
      <sz val="9"/>
      <color theme="1"/>
      <name val="Century"/>
      <family val="1"/>
    </font>
    <font>
      <b/>
      <sz val="9"/>
      <color theme="1"/>
      <name val="Century"/>
      <family val="1"/>
    </font>
    <font>
      <b/>
      <sz val="9"/>
      <name val="Century"/>
      <family val="1"/>
    </font>
    <font>
      <b/>
      <sz val="9"/>
      <color theme="1"/>
      <name val="Calibri"/>
      <family val="2"/>
      <scheme val="minor"/>
    </font>
    <font>
      <b/>
      <vertAlign val="superscript"/>
      <sz val="9"/>
      <name val="Century"/>
      <family val="1"/>
    </font>
    <font>
      <sz val="20"/>
      <color theme="1"/>
      <name val="Calibri"/>
      <family val="2"/>
      <scheme val="minor"/>
    </font>
    <font>
      <sz val="16"/>
      <color theme="1"/>
      <name val="Century"/>
      <family val="1"/>
    </font>
    <font>
      <b/>
      <u/>
      <sz val="14"/>
      <color theme="1"/>
      <name val="Calibri"/>
      <family val="2"/>
      <scheme val="minor"/>
    </font>
    <font>
      <b/>
      <sz val="16"/>
      <color theme="1"/>
      <name val="Century"/>
      <family val="1"/>
    </font>
    <font>
      <sz val="8"/>
      <color theme="1"/>
      <name val="Century"/>
      <family val="1"/>
    </font>
    <font>
      <b/>
      <sz val="11"/>
      <name val="Century"/>
      <family val="1"/>
    </font>
    <font>
      <b/>
      <vertAlign val="superscript"/>
      <sz val="11"/>
      <name val="Century"/>
      <family val="1"/>
    </font>
    <font>
      <sz val="9"/>
      <color theme="1"/>
      <name val="Calibri"/>
      <family val="2"/>
      <scheme val="minor"/>
    </font>
    <font>
      <sz val="18"/>
      <color theme="1"/>
      <name val="Calibri"/>
      <family val="2"/>
      <scheme val="minor"/>
    </font>
    <font>
      <b/>
      <sz val="18"/>
      <color theme="1"/>
      <name val="Calibri"/>
      <family val="2"/>
      <scheme val="minor"/>
    </font>
    <font>
      <sz val="12"/>
      <name val="Calibri"/>
      <family val="2"/>
      <scheme val="minor"/>
    </font>
    <font>
      <b/>
      <u/>
      <sz val="11"/>
      <color theme="1"/>
      <name val="Cambria"/>
      <family val="1"/>
      <scheme val="major"/>
    </font>
    <font>
      <b/>
      <u/>
      <sz val="11"/>
      <color theme="1"/>
      <name val="Calibri"/>
      <family val="2"/>
      <scheme val="minor"/>
    </font>
    <font>
      <b/>
      <sz val="11"/>
      <color theme="1"/>
      <name val="Calibri"/>
      <family val="2"/>
    </font>
    <font>
      <b/>
      <i/>
      <u/>
      <sz val="11"/>
      <color theme="1"/>
      <name val="Calibri"/>
      <family val="2"/>
      <scheme val="minor"/>
    </font>
    <font>
      <sz val="11"/>
      <color theme="1"/>
      <name val="Calibri"/>
      <family val="2"/>
    </font>
    <font>
      <i/>
      <u/>
      <sz val="11"/>
      <color theme="1"/>
      <name val="Calibri"/>
      <family val="2"/>
      <scheme val="minor"/>
    </font>
    <font>
      <b/>
      <u/>
      <sz val="18"/>
      <color theme="1"/>
      <name val="Cambria"/>
      <family val="1"/>
      <scheme val="major"/>
    </font>
    <font>
      <b/>
      <u/>
      <sz val="18"/>
      <color theme="1"/>
      <name val="Calibri"/>
      <family val="2"/>
      <scheme val="minor"/>
    </font>
    <font>
      <b/>
      <u/>
      <sz val="20"/>
      <color theme="1"/>
      <name val="Cambria"/>
      <family val="1"/>
      <scheme val="major"/>
    </font>
    <font>
      <b/>
      <sz val="20"/>
      <color theme="1"/>
      <name val="Calibri"/>
      <family val="2"/>
      <scheme val="minor"/>
    </font>
    <font>
      <b/>
      <sz val="12"/>
      <name val="Calibri"/>
      <family val="2"/>
    </font>
    <font>
      <b/>
      <i/>
      <u/>
      <sz val="12"/>
      <color theme="1"/>
      <name val="Calibri"/>
      <family val="2"/>
      <scheme val="minor"/>
    </font>
    <font>
      <sz val="16"/>
      <color theme="1"/>
      <name val="Calibri"/>
      <family val="2"/>
      <scheme val="minor"/>
    </font>
    <font>
      <b/>
      <sz val="14"/>
      <name val="Century"/>
      <family val="1"/>
    </font>
    <font>
      <b/>
      <sz val="11"/>
      <name val="Calibri"/>
      <family val="2"/>
      <scheme val="minor"/>
    </font>
    <font>
      <b/>
      <i/>
      <sz val="11"/>
      <color theme="1"/>
      <name val="Calibri"/>
      <family val="2"/>
      <scheme val="minor"/>
    </font>
    <font>
      <b/>
      <sz val="11"/>
      <color theme="1"/>
      <name val="Kruti Dev 010"/>
    </font>
    <font>
      <sz val="14"/>
      <color theme="1"/>
      <name val="Kruti Dev 010"/>
    </font>
    <font>
      <b/>
      <sz val="14"/>
      <color theme="1"/>
      <name val="Kruti Dev 010"/>
    </font>
  </fonts>
  <fills count="5">
    <fill>
      <patternFill patternType="none"/>
    </fill>
    <fill>
      <patternFill patternType="gray125"/>
    </fill>
    <fill>
      <patternFill patternType="solid">
        <fgColor theme="1" tint="0.499984740745262"/>
        <bgColor indexed="64"/>
      </patternFill>
    </fill>
    <fill>
      <patternFill patternType="solid">
        <fgColor theme="1" tint="0.34998626667073579"/>
        <bgColor indexed="64"/>
      </patternFill>
    </fill>
    <fill>
      <patternFill patternType="solid">
        <fgColor theme="2" tint="-0.74999237037263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465">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164" fontId="4"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2" fontId="4" fillId="0" borderId="4" xfId="0" applyNumberFormat="1" applyFont="1" applyBorder="1" applyAlignment="1">
      <alignment horizontal="center" vertical="center"/>
    </xf>
    <xf numFmtId="2" fontId="3" fillId="0" borderId="4"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3" fillId="0" borderId="4" xfId="0" applyFont="1" applyBorder="1" applyAlignment="1">
      <alignment horizontal="justify" vertical="top" wrapText="1"/>
    </xf>
    <xf numFmtId="0" fontId="3" fillId="0" borderId="4" xfId="0" applyFont="1" applyBorder="1" applyAlignment="1">
      <alignment horizontal="center" vertical="center" wrapText="1"/>
    </xf>
    <xf numFmtId="0" fontId="4" fillId="0" borderId="4" xfId="0" applyFont="1" applyBorder="1" applyAlignment="1">
      <alignment horizontal="justify" vertical="center" wrapText="1"/>
    </xf>
    <xf numFmtId="2" fontId="3" fillId="0" borderId="4" xfId="0" applyNumberFormat="1" applyFont="1" applyBorder="1" applyAlignment="1">
      <alignment horizontal="center"/>
    </xf>
    <xf numFmtId="2" fontId="3" fillId="0" borderId="4" xfId="0" applyNumberFormat="1" applyFont="1" applyBorder="1" applyAlignment="1">
      <alignment horizontal="right"/>
    </xf>
    <xf numFmtId="0" fontId="4" fillId="0" borderId="4" xfId="0" applyFont="1" applyBorder="1" applyAlignment="1">
      <alignment horizontal="center"/>
    </xf>
    <xf numFmtId="0" fontId="3" fillId="0" borderId="4" xfId="0" applyFont="1" applyBorder="1" applyAlignment="1">
      <alignment horizontal="justify" vertical="top"/>
    </xf>
    <xf numFmtId="2" fontId="3" fillId="0" borderId="4" xfId="0" applyNumberFormat="1" applyFont="1" applyBorder="1" applyAlignment="1">
      <alignment horizontal="justify" vertical="top"/>
    </xf>
    <xf numFmtId="2" fontId="4" fillId="0" borderId="4" xfId="0" applyNumberFormat="1" applyFont="1" applyBorder="1" applyAlignment="1">
      <alignment horizontal="center" vertical="center" wrapText="1"/>
    </xf>
    <xf numFmtId="0" fontId="4" fillId="0" borderId="4" xfId="0" applyFont="1" applyBorder="1"/>
    <xf numFmtId="0" fontId="4" fillId="0" borderId="0" xfId="0" applyFont="1"/>
    <xf numFmtId="0" fontId="3" fillId="0" borderId="0" xfId="0" applyFont="1" applyAlignment="1">
      <alignment horizontal="left" vertical="top"/>
    </xf>
    <xf numFmtId="164" fontId="4" fillId="0" borderId="0" xfId="0" applyNumberFormat="1" applyFont="1" applyAlignment="1">
      <alignment horizontal="center" vertical="center"/>
    </xf>
    <xf numFmtId="0" fontId="5" fillId="0" borderId="0" xfId="0" applyFont="1"/>
    <xf numFmtId="0" fontId="6" fillId="0" borderId="0" xfId="0" applyFont="1" applyAlignment="1">
      <alignment horizontal="left" vertical="top"/>
    </xf>
    <xf numFmtId="164" fontId="7"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xf numFmtId="164" fontId="3" fillId="0" borderId="0" xfId="0" applyNumberFormat="1" applyFont="1"/>
    <xf numFmtId="0" fontId="7" fillId="0" borderId="0" xfId="0" applyFont="1" applyAlignment="1">
      <alignment horizontal="left" vertical="center"/>
    </xf>
    <xf numFmtId="0" fontId="7" fillId="0" borderId="0" xfId="0" applyFont="1" applyAlignment="1">
      <alignment horizontal="center"/>
    </xf>
    <xf numFmtId="164" fontId="0" fillId="0" borderId="0" xfId="0" applyNumberFormat="1"/>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164" fontId="12"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2" fontId="12" fillId="0" borderId="4" xfId="0" applyNumberFormat="1" applyFont="1" applyBorder="1" applyAlignment="1">
      <alignment horizontal="center" vertical="center"/>
    </xf>
    <xf numFmtId="2" fontId="13" fillId="0" borderId="4" xfId="0" applyNumberFormat="1" applyFont="1" applyBorder="1" applyAlignment="1">
      <alignment horizontal="center" vertical="center"/>
    </xf>
    <xf numFmtId="164" fontId="12" fillId="0" borderId="4" xfId="0" applyNumberFormat="1" applyFont="1" applyBorder="1" applyAlignment="1">
      <alignment horizontal="center" vertical="center"/>
    </xf>
    <xf numFmtId="0" fontId="13" fillId="0" borderId="4" xfId="0" applyFont="1" applyBorder="1" applyAlignment="1">
      <alignment horizontal="justify" vertical="top" wrapText="1"/>
    </xf>
    <xf numFmtId="2" fontId="12"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2" fillId="0" borderId="4" xfId="0" applyFont="1" applyBorder="1" applyAlignment="1">
      <alignment horizontal="justify" vertical="center" wrapText="1"/>
    </xf>
    <xf numFmtId="2" fontId="13" fillId="0" borderId="4" xfId="0" applyNumberFormat="1" applyFont="1" applyBorder="1" applyAlignment="1">
      <alignment horizontal="center"/>
    </xf>
    <xf numFmtId="2" fontId="13" fillId="0" borderId="4" xfId="0" applyNumberFormat="1" applyFont="1" applyBorder="1" applyAlignment="1">
      <alignment horizontal="right"/>
    </xf>
    <xf numFmtId="0" fontId="12" fillId="0" borderId="4" xfId="0" applyFont="1" applyBorder="1"/>
    <xf numFmtId="164" fontId="14" fillId="0" borderId="4" xfId="0" applyNumberFormat="1" applyFont="1" applyBorder="1" applyAlignment="1">
      <alignment horizontal="center" vertical="center"/>
    </xf>
    <xf numFmtId="0" fontId="12" fillId="0" borderId="0" xfId="0" applyFont="1" applyBorder="1"/>
    <xf numFmtId="0" fontId="13" fillId="0" borderId="0" xfId="0" applyFont="1" applyBorder="1" applyAlignment="1">
      <alignment horizontal="left" vertical="top"/>
    </xf>
    <xf numFmtId="164" fontId="14" fillId="0" borderId="0" xfId="0" applyNumberFormat="1" applyFont="1" applyBorder="1" applyAlignment="1">
      <alignment horizontal="center" vertical="center"/>
    </xf>
    <xf numFmtId="0" fontId="0" fillId="0" borderId="0" xfId="0" applyAlignment="1">
      <alignment horizontal="center" vertical="center"/>
    </xf>
    <xf numFmtId="0" fontId="14" fillId="0" borderId="0" xfId="0" applyFont="1" applyAlignment="1">
      <alignment horizontal="left" vertical="center"/>
    </xf>
    <xf numFmtId="0" fontId="14" fillId="0" borderId="0" xfId="0" applyFont="1" applyAlignment="1">
      <alignment horizontal="center"/>
    </xf>
    <xf numFmtId="164" fontId="14" fillId="0" borderId="0" xfId="0" applyNumberFormat="1" applyFont="1" applyAlignment="1">
      <alignment horizontal="center" vertical="center"/>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0" fontId="16" fillId="0" borderId="4" xfId="0" applyFont="1" applyBorder="1" applyAlignment="1">
      <alignment horizontal="justify" vertical="top" wrapText="1"/>
    </xf>
    <xf numFmtId="2" fontId="15" fillId="0" borderId="4" xfId="0" applyNumberFormat="1" applyFont="1" applyBorder="1" applyAlignment="1">
      <alignment horizontal="center" vertical="center"/>
    </xf>
    <xf numFmtId="2" fontId="16" fillId="0" borderId="4" xfId="0" applyNumberFormat="1" applyFont="1" applyBorder="1" applyAlignment="1">
      <alignment horizontal="center" vertical="center"/>
    </xf>
    <xf numFmtId="0" fontId="17" fillId="0" borderId="4" xfId="0" applyFont="1" applyBorder="1" applyAlignment="1" applyProtection="1">
      <alignment horizontal="justify" vertical="top"/>
      <protection locked="0"/>
    </xf>
    <xf numFmtId="0" fontId="16" fillId="0" borderId="4" xfId="0" applyFont="1" applyBorder="1" applyAlignment="1">
      <alignment horizontal="center" vertical="center" wrapText="1"/>
    </xf>
    <xf numFmtId="0" fontId="15" fillId="0" borderId="4" xfId="0" applyFont="1" applyBorder="1" applyAlignment="1">
      <alignment horizontal="justify" vertical="center" wrapText="1"/>
    </xf>
    <xf numFmtId="2" fontId="16" fillId="0" borderId="4" xfId="0" applyNumberFormat="1" applyFont="1" applyBorder="1" applyAlignment="1">
      <alignment horizontal="center"/>
    </xf>
    <xf numFmtId="2" fontId="16" fillId="0" borderId="4" xfId="0" applyNumberFormat="1" applyFont="1" applyBorder="1" applyAlignment="1">
      <alignment horizontal="right"/>
    </xf>
    <xf numFmtId="0" fontId="15" fillId="0" borderId="4" xfId="0" applyFont="1" applyBorder="1" applyAlignment="1">
      <alignment horizontal="center"/>
    </xf>
    <xf numFmtId="0" fontId="16" fillId="0" borderId="4" xfId="0" applyFont="1" applyBorder="1" applyAlignment="1">
      <alignment horizontal="justify" vertical="top"/>
    </xf>
    <xf numFmtId="2" fontId="16" fillId="0" borderId="4" xfId="0" applyNumberFormat="1" applyFont="1" applyBorder="1" applyAlignment="1">
      <alignment horizontal="justify" vertical="top"/>
    </xf>
    <xf numFmtId="2" fontId="15" fillId="0" borderId="4" xfId="0" applyNumberFormat="1" applyFont="1" applyBorder="1" applyAlignment="1">
      <alignment horizontal="center" vertical="center" wrapText="1"/>
    </xf>
    <xf numFmtId="0" fontId="15" fillId="0" borderId="4" xfId="0" applyFont="1" applyBorder="1"/>
    <xf numFmtId="0" fontId="15" fillId="0" borderId="0" xfId="0" applyFont="1" applyBorder="1"/>
    <xf numFmtId="0" fontId="16" fillId="0" borderId="0" xfId="0" applyFont="1" applyBorder="1" applyAlignment="1">
      <alignment horizontal="left" vertical="top"/>
    </xf>
    <xf numFmtId="164" fontId="4" fillId="0" borderId="0" xfId="0" applyNumberFormat="1" applyFont="1" applyBorder="1" applyAlignment="1">
      <alignment horizontal="center" vertical="center"/>
    </xf>
    <xf numFmtId="0" fontId="4" fillId="0" borderId="0" xfId="0" applyFont="1" applyBorder="1"/>
    <xf numFmtId="0" fontId="3" fillId="0" borderId="0" xfId="0" applyFont="1" applyBorder="1" applyAlignment="1">
      <alignment horizontal="left" vertical="top"/>
    </xf>
    <xf numFmtId="0" fontId="4" fillId="0" borderId="0" xfId="0" applyFont="1" applyAlignment="1">
      <alignment horizontal="left" vertical="center"/>
    </xf>
    <xf numFmtId="0" fontId="4" fillId="0" borderId="0" xfId="0" applyFont="1" applyAlignment="1">
      <alignment horizontal="center"/>
    </xf>
    <xf numFmtId="164" fontId="0" fillId="0" borderId="0" xfId="0" applyNumberFormat="1" applyFont="1"/>
    <xf numFmtId="0" fontId="18" fillId="0" borderId="0" xfId="0" applyFont="1" applyAlignment="1">
      <alignment horizontal="center" vertical="center"/>
    </xf>
    <xf numFmtId="0" fontId="11"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165" fontId="18" fillId="0" borderId="4" xfId="0" applyNumberFormat="1" applyFont="1" applyBorder="1" applyAlignment="1">
      <alignment horizontal="center" vertical="center" wrapText="1"/>
    </xf>
    <xf numFmtId="2" fontId="18" fillId="0" borderId="4" xfId="0" applyNumberFormat="1" applyFont="1" applyBorder="1" applyAlignment="1">
      <alignment horizontal="center" vertical="center" wrapText="1"/>
    </xf>
    <xf numFmtId="2" fontId="18" fillId="0" borderId="4" xfId="0" applyNumberFormat="1" applyFont="1" applyBorder="1" applyAlignment="1">
      <alignment horizontal="center" vertical="center"/>
    </xf>
    <xf numFmtId="1" fontId="18" fillId="0" borderId="4" xfId="0" applyNumberFormat="1" applyFont="1" applyBorder="1" applyAlignment="1">
      <alignment horizontal="center" vertical="center" wrapText="1"/>
    </xf>
    <xf numFmtId="164" fontId="18" fillId="0" borderId="4" xfId="0" applyNumberFormat="1" applyFont="1" applyBorder="1" applyAlignment="1">
      <alignment horizontal="center" vertical="center"/>
    </xf>
    <xf numFmtId="1" fontId="18" fillId="0" borderId="4" xfId="0" applyNumberFormat="1"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1" fontId="18" fillId="0" borderId="0" xfId="0" applyNumberFormat="1" applyFont="1" applyAlignment="1">
      <alignment horizontal="center" vertical="center"/>
    </xf>
    <xf numFmtId="0" fontId="18" fillId="0" borderId="0" xfId="0" applyFont="1" applyAlignment="1">
      <alignment horizontal="center" vertical="center" wrapText="1"/>
    </xf>
    <xf numFmtId="1" fontId="18" fillId="0" borderId="0" xfId="0" applyNumberFormat="1" applyFont="1" applyAlignment="1">
      <alignment horizontal="center" vertical="center" wrapText="1"/>
    </xf>
    <xf numFmtId="164" fontId="18" fillId="0" borderId="0" xfId="0" applyNumberFormat="1" applyFont="1" applyAlignment="1">
      <alignment horizontal="center" vertical="center"/>
    </xf>
    <xf numFmtId="164" fontId="11" fillId="0" borderId="4" xfId="0" applyNumberFormat="1" applyFont="1" applyBorder="1" applyAlignment="1">
      <alignment horizontal="center"/>
    </xf>
    <xf numFmtId="165" fontId="18" fillId="0" borderId="4" xfId="0" applyNumberFormat="1" applyFont="1" applyBorder="1" applyAlignment="1">
      <alignment horizontal="center" vertical="center"/>
    </xf>
    <xf numFmtId="2" fontId="18" fillId="0" borderId="0" xfId="0" applyNumberFormat="1" applyFont="1" applyAlignment="1">
      <alignment horizontal="center" vertical="center"/>
    </xf>
    <xf numFmtId="0" fontId="21" fillId="0" borderId="5" xfId="0" applyFont="1" applyBorder="1" applyAlignment="1">
      <alignment horizontal="center" vertical="center"/>
    </xf>
    <xf numFmtId="0" fontId="13" fillId="0" borderId="0" xfId="0" applyFont="1"/>
    <xf numFmtId="0" fontId="22" fillId="0" borderId="4" xfId="0" applyFont="1" applyBorder="1" applyAlignment="1">
      <alignment horizontal="center" vertical="center" wrapText="1"/>
    </xf>
    <xf numFmtId="2" fontId="23" fillId="0" borderId="4" xfId="0" applyNumberFormat="1" applyFont="1" applyBorder="1" applyAlignment="1">
      <alignment horizontal="right"/>
    </xf>
    <xf numFmtId="2" fontId="22" fillId="0" borderId="4" xfId="0" applyNumberFormat="1" applyFont="1" applyBorder="1" applyAlignment="1">
      <alignment horizontal="center"/>
    </xf>
    <xf numFmtId="2" fontId="23" fillId="0" borderId="4" xfId="0" applyNumberFormat="1" applyFont="1" applyBorder="1" applyAlignment="1">
      <alignment horizontal="center" vertical="center"/>
    </xf>
    <xf numFmtId="0" fontId="23" fillId="0" borderId="0" xfId="0" applyFont="1"/>
    <xf numFmtId="0" fontId="22" fillId="0" borderId="4" xfId="0" applyFont="1" applyBorder="1" applyAlignment="1">
      <alignment horizontal="center" vertical="top" wrapText="1"/>
    </xf>
    <xf numFmtId="0" fontId="22" fillId="0" borderId="4" xfId="0" applyFont="1" applyBorder="1" applyAlignment="1">
      <alignment horizontal="left" vertical="top" wrapText="1"/>
    </xf>
    <xf numFmtId="0" fontId="23" fillId="0" borderId="4" xfId="0" applyFont="1" applyBorder="1" applyAlignment="1">
      <alignment horizontal="center" vertical="center" wrapText="1"/>
    </xf>
    <xf numFmtId="2" fontId="22" fillId="0" borderId="4" xfId="0" applyNumberFormat="1" applyFont="1" applyBorder="1" applyAlignment="1">
      <alignment horizontal="center" vertical="center" wrapText="1"/>
    </xf>
    <xf numFmtId="2" fontId="22" fillId="0" borderId="4" xfId="0" applyNumberFormat="1" applyFont="1" applyBorder="1" applyAlignment="1">
      <alignment horizontal="right"/>
    </xf>
    <xf numFmtId="2" fontId="22" fillId="0" borderId="4" xfId="0" applyNumberFormat="1" applyFont="1" applyBorder="1" applyAlignment="1">
      <alignment horizontal="center" wrapText="1"/>
    </xf>
    <xf numFmtId="2" fontId="22" fillId="0" borderId="4" xfId="0" applyNumberFormat="1" applyFont="1" applyBorder="1" applyAlignment="1">
      <alignment horizontal="center" vertical="center"/>
    </xf>
    <xf numFmtId="0" fontId="22" fillId="0" borderId="4" xfId="0" applyFont="1" applyBorder="1" applyAlignment="1">
      <alignment horizontal="center" wrapText="1"/>
    </xf>
    <xf numFmtId="2" fontId="24" fillId="0" borderId="4" xfId="0" applyNumberFormat="1" applyFont="1" applyBorder="1" applyAlignment="1">
      <alignment horizontal="center" wrapText="1"/>
    </xf>
    <xf numFmtId="2" fontId="25" fillId="0" borderId="4" xfId="0" applyNumberFormat="1" applyFont="1" applyBorder="1" applyAlignment="1">
      <alignment horizontal="center" vertical="center"/>
    </xf>
    <xf numFmtId="0" fontId="0" fillId="0" borderId="0" xfId="0" applyAlignment="1">
      <alignment vertical="center"/>
    </xf>
    <xf numFmtId="0" fontId="0" fillId="0" borderId="0" xfId="0" applyAlignment="1">
      <alignment vertical="top"/>
    </xf>
    <xf numFmtId="0" fontId="18" fillId="0" borderId="0" xfId="0" applyFont="1" applyAlignment="1">
      <alignment horizontal="center"/>
    </xf>
    <xf numFmtId="0" fontId="26" fillId="0" borderId="0" xfId="0" applyFont="1"/>
    <xf numFmtId="0" fontId="28" fillId="0" borderId="4" xfId="0" applyFont="1" applyBorder="1"/>
    <xf numFmtId="0" fontId="10" fillId="0" borderId="0" xfId="0" applyFont="1" applyAlignment="1"/>
    <xf numFmtId="0" fontId="28" fillId="0" borderId="4" xfId="0" applyFont="1" applyBorder="1" applyAlignment="1">
      <alignment horizontal="center" vertical="center" wrapText="1"/>
    </xf>
    <xf numFmtId="0" fontId="28" fillId="0" borderId="4" xfId="0" applyFont="1" applyBorder="1" applyAlignment="1">
      <alignment horizontal="center" vertical="center"/>
    </xf>
    <xf numFmtId="0" fontId="28" fillId="0" borderId="0" xfId="0" applyFont="1"/>
    <xf numFmtId="0" fontId="28" fillId="0" borderId="4" xfId="0" applyFont="1" applyBorder="1" applyAlignment="1">
      <alignment vertical="top" wrapText="1"/>
    </xf>
    <xf numFmtId="0" fontId="20" fillId="0" borderId="4" xfId="0" applyFont="1" applyBorder="1" applyAlignment="1">
      <alignment horizontal="center" vertical="center"/>
    </xf>
    <xf numFmtId="2" fontId="20" fillId="0" borderId="4" xfId="0" applyNumberFormat="1" applyFont="1" applyBorder="1" applyAlignment="1">
      <alignment horizontal="center" vertical="center"/>
    </xf>
    <xf numFmtId="0" fontId="29" fillId="0" borderId="4" xfId="0" applyFont="1" applyBorder="1" applyAlignment="1">
      <alignment vertical="top" wrapText="1"/>
    </xf>
    <xf numFmtId="0" fontId="20" fillId="0" borderId="4" xfId="0" applyFont="1" applyBorder="1" applyAlignment="1">
      <alignment horizontal="center" vertical="center" wrapText="1"/>
    </xf>
    <xf numFmtId="2" fontId="20" fillId="0" borderId="4" xfId="0" applyNumberFormat="1" applyFont="1" applyBorder="1" applyAlignment="1">
      <alignment horizontal="center" vertical="center" wrapText="1"/>
    </xf>
    <xf numFmtId="0" fontId="22" fillId="0" borderId="4" xfId="0" applyFont="1" applyBorder="1" applyAlignment="1">
      <alignment vertical="top"/>
    </xf>
    <xf numFmtId="0" fontId="28" fillId="0" borderId="4" xfId="0" applyFont="1" applyBorder="1" applyAlignment="1">
      <alignment vertical="top"/>
    </xf>
    <xf numFmtId="0" fontId="20" fillId="0" borderId="4" xfId="0" applyFont="1" applyBorder="1" applyAlignment="1">
      <alignment horizontal="center" vertical="top"/>
    </xf>
    <xf numFmtId="0" fontId="28" fillId="0" borderId="4" xfId="0" applyFont="1" applyFill="1" applyBorder="1" applyAlignment="1">
      <alignment horizontal="center" vertical="top" wrapText="1"/>
    </xf>
    <xf numFmtId="0" fontId="28" fillId="0" borderId="4" xfId="0" applyFont="1" applyBorder="1" applyAlignment="1">
      <alignment horizontal="left" vertical="top" wrapText="1"/>
    </xf>
    <xf numFmtId="0" fontId="30" fillId="0" borderId="4" xfId="0" applyFont="1" applyBorder="1" applyAlignment="1">
      <alignment horizontal="center"/>
    </xf>
    <xf numFmtId="0" fontId="18" fillId="0" borderId="4" xfId="0" applyFont="1" applyBorder="1" applyAlignment="1">
      <alignment horizontal="center"/>
    </xf>
    <xf numFmtId="2" fontId="20" fillId="0" borderId="4" xfId="0" applyNumberFormat="1" applyFont="1" applyBorder="1" applyAlignment="1">
      <alignment horizontal="center" vertical="top"/>
    </xf>
    <xf numFmtId="0" fontId="28" fillId="0" borderId="4" xfId="0" applyFont="1" applyBorder="1" applyAlignment="1">
      <alignment horizontal="center" vertical="top" wrapText="1"/>
    </xf>
    <xf numFmtId="0" fontId="32" fillId="0" borderId="0" xfId="0" applyFont="1"/>
    <xf numFmtId="0" fontId="32" fillId="0" borderId="4" xfId="0" applyFont="1" applyBorder="1"/>
    <xf numFmtId="0" fontId="33" fillId="0" borderId="4" xfId="0" applyFont="1" applyBorder="1" applyAlignment="1">
      <alignment horizontal="center" vertical="center" wrapText="1"/>
    </xf>
    <xf numFmtId="0" fontId="33" fillId="0" borderId="4" xfId="0" applyFont="1" applyBorder="1" applyAlignment="1">
      <alignment horizontal="center" vertical="center"/>
    </xf>
    <xf numFmtId="0" fontId="33" fillId="0" borderId="4" xfId="0" applyFont="1" applyBorder="1" applyAlignment="1">
      <alignment vertical="top" wrapText="1"/>
    </xf>
    <xf numFmtId="2" fontId="33" fillId="0" borderId="4" xfId="0" applyNumberFormat="1" applyFont="1" applyBorder="1" applyAlignment="1">
      <alignment horizontal="center" vertical="center"/>
    </xf>
    <xf numFmtId="2" fontId="34" fillId="0" borderId="4" xfId="0" applyNumberFormat="1" applyFont="1" applyBorder="1" applyAlignment="1">
      <alignment horizontal="center" vertical="center"/>
    </xf>
    <xf numFmtId="0" fontId="33" fillId="0" borderId="4" xfId="0" applyFont="1" applyBorder="1" applyAlignment="1">
      <alignment horizontal="left" vertical="top" wrapText="1"/>
    </xf>
    <xf numFmtId="2" fontId="33" fillId="0" borderId="4" xfId="0" applyNumberFormat="1" applyFont="1" applyBorder="1" applyAlignment="1">
      <alignment horizontal="center" vertical="center" wrapText="1"/>
    </xf>
    <xf numFmtId="0" fontId="33" fillId="0" borderId="4" xfId="0" applyFont="1" applyBorder="1" applyAlignment="1">
      <alignment horizontal="center" vertical="top" wrapText="1"/>
    </xf>
    <xf numFmtId="0" fontId="35" fillId="0" borderId="0" xfId="0" applyFont="1" applyAlignment="1">
      <alignment vertical="center"/>
    </xf>
    <xf numFmtId="165" fontId="33" fillId="0" borderId="4" xfId="0" applyNumberFormat="1" applyFont="1" applyBorder="1" applyAlignment="1">
      <alignment horizontal="center" vertical="center" wrapText="1"/>
    </xf>
    <xf numFmtId="0" fontId="33" fillId="0" borderId="4" xfId="0" applyFont="1" applyBorder="1" applyAlignment="1">
      <alignment vertical="top"/>
    </xf>
    <xf numFmtId="0" fontId="33" fillId="0" borderId="4" xfId="0" applyFont="1" applyBorder="1" applyAlignment="1">
      <alignment vertical="center"/>
    </xf>
    <xf numFmtId="0" fontId="33" fillId="0" borderId="4" xfId="0" applyFont="1" applyFill="1" applyBorder="1" applyAlignment="1">
      <alignment horizontal="center" vertical="top" wrapText="1"/>
    </xf>
    <xf numFmtId="0" fontId="34" fillId="0" borderId="4" xfId="0" applyFont="1" applyBorder="1" applyAlignment="1">
      <alignment horizontal="center" vertical="center"/>
    </xf>
    <xf numFmtId="0" fontId="35" fillId="0" borderId="4" xfId="0" applyFont="1" applyBorder="1" applyAlignment="1">
      <alignment horizontal="center" vertical="center"/>
    </xf>
    <xf numFmtId="2" fontId="33" fillId="0" borderId="4" xfId="0" applyNumberFormat="1" applyFont="1" applyBorder="1" applyAlignment="1">
      <alignment vertical="center"/>
    </xf>
    <xf numFmtId="0" fontId="33" fillId="0" borderId="4" xfId="0" applyFont="1" applyBorder="1"/>
    <xf numFmtId="2" fontId="33" fillId="0" borderId="4" xfId="0" applyNumberFormat="1" applyFont="1" applyBorder="1" applyAlignment="1">
      <alignment horizontal="center" vertical="top"/>
    </xf>
    <xf numFmtId="2" fontId="28" fillId="0" borderId="4" xfId="0" applyNumberFormat="1" applyFont="1" applyBorder="1" applyAlignment="1">
      <alignment horizontal="center" vertical="top"/>
    </xf>
    <xf numFmtId="0" fontId="28" fillId="0" borderId="4" xfId="0" applyFont="1" applyBorder="1" applyAlignment="1">
      <alignment horizontal="center" vertical="top"/>
    </xf>
    <xf numFmtId="0" fontId="26" fillId="0" borderId="4" xfId="0" applyFont="1" applyBorder="1"/>
    <xf numFmtId="2" fontId="33" fillId="0" borderId="4" xfId="0" applyNumberFormat="1" applyFont="1" applyBorder="1" applyAlignment="1"/>
    <xf numFmtId="2" fontId="28" fillId="0" borderId="4" xfId="0" applyNumberFormat="1" applyFont="1" applyBorder="1" applyAlignment="1">
      <alignment horizontal="center" vertical="center"/>
    </xf>
    <xf numFmtId="0" fontId="30" fillId="0" borderId="4" xfId="0" applyFont="1" applyBorder="1" applyAlignment="1">
      <alignment horizontal="center" vertical="center"/>
    </xf>
    <xf numFmtId="0" fontId="18" fillId="0" borderId="2" xfId="0" applyFont="1" applyBorder="1" applyAlignment="1">
      <alignment horizontal="right"/>
    </xf>
    <xf numFmtId="0" fontId="18" fillId="0" borderId="3" xfId="0" applyFont="1" applyBorder="1" applyAlignment="1">
      <alignment horizontal="right"/>
    </xf>
    <xf numFmtId="2" fontId="18" fillId="0" borderId="4" xfId="0" applyNumberFormat="1" applyFont="1" applyBorder="1" applyAlignment="1">
      <alignment horizontal="center"/>
    </xf>
    <xf numFmtId="0" fontId="20" fillId="0" borderId="1" xfId="0" applyFont="1" applyBorder="1" applyAlignment="1">
      <alignment horizontal="right" vertical="top"/>
    </xf>
    <xf numFmtId="0" fontId="20" fillId="0" borderId="2" xfId="0" applyFont="1" applyBorder="1" applyAlignment="1">
      <alignment horizontal="right" vertical="top"/>
    </xf>
    <xf numFmtId="0" fontId="20" fillId="0" borderId="3" xfId="0" applyFont="1" applyBorder="1" applyAlignment="1">
      <alignment horizontal="right" vertical="top"/>
    </xf>
    <xf numFmtId="0" fontId="28" fillId="0" borderId="1" xfId="0" applyFont="1" applyBorder="1" applyAlignment="1">
      <alignment horizontal="right" vertical="top"/>
    </xf>
    <xf numFmtId="0" fontId="28" fillId="0" borderId="2" xfId="0" applyFont="1" applyBorder="1" applyAlignment="1">
      <alignment horizontal="right" vertical="top"/>
    </xf>
    <xf numFmtId="0" fontId="28" fillId="0" borderId="3" xfId="0" applyFont="1" applyBorder="1" applyAlignment="1">
      <alignment horizontal="right" vertical="top"/>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6" fillId="0" borderId="0" xfId="0" applyFont="1" applyAlignment="1"/>
    <xf numFmtId="2" fontId="26" fillId="0" borderId="0" xfId="0" applyNumberFormat="1" applyFont="1"/>
    <xf numFmtId="0" fontId="37" fillId="0" borderId="0" xfId="0" applyFont="1"/>
    <xf numFmtId="0" fontId="11" fillId="0" borderId="3" xfId="0" applyFont="1" applyBorder="1" applyAlignment="1">
      <alignment horizontal="center" vertical="center" wrapText="1"/>
    </xf>
    <xf numFmtId="0" fontId="20" fillId="0" borderId="3" xfId="0" applyFont="1" applyBorder="1" applyAlignment="1">
      <alignment horizontal="left" vertical="top" wrapText="1"/>
    </xf>
    <xf numFmtId="0" fontId="22" fillId="0" borderId="3" xfId="0" applyFont="1" applyBorder="1" applyAlignment="1">
      <alignment horizontal="left" vertical="top" wrapText="1"/>
    </xf>
    <xf numFmtId="0" fontId="18" fillId="0" borderId="0" xfId="0" applyFont="1" applyBorder="1" applyAlignment="1">
      <alignment horizontal="center" vertical="center"/>
    </xf>
    <xf numFmtId="2" fontId="9" fillId="0" borderId="4" xfId="0" applyNumberFormat="1" applyFont="1" applyBorder="1" applyAlignment="1">
      <alignment horizontal="center" vertical="center"/>
    </xf>
    <xf numFmtId="1" fontId="18" fillId="0" borderId="7" xfId="0" applyNumberFormat="1" applyFont="1" applyBorder="1" applyAlignment="1">
      <alignment horizontal="center" vertical="center"/>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1" fontId="18" fillId="0" borderId="7" xfId="0" applyNumberFormat="1" applyFont="1" applyBorder="1" applyAlignment="1">
      <alignment horizontal="center" vertical="center" wrapText="1"/>
    </xf>
    <xf numFmtId="0" fontId="11" fillId="0" borderId="7" xfId="0" applyFont="1" applyBorder="1" applyAlignment="1">
      <alignment horizontal="center" vertical="top" wrapText="1"/>
    </xf>
    <xf numFmtId="0" fontId="11" fillId="0" borderId="7" xfId="0" applyFont="1" applyBorder="1" applyAlignment="1">
      <alignment horizontal="left" vertical="top" wrapText="1"/>
    </xf>
    <xf numFmtId="2" fontId="12" fillId="0" borderId="7" xfId="0" applyNumberFormat="1" applyFont="1" applyBorder="1" applyAlignment="1">
      <alignment horizontal="center" vertical="center" wrapText="1"/>
    </xf>
    <xf numFmtId="0" fontId="11" fillId="0" borderId="4" xfId="0" applyFont="1" applyBorder="1" applyAlignment="1">
      <alignment horizontal="center" vertical="top" wrapText="1"/>
    </xf>
    <xf numFmtId="0" fontId="11" fillId="0" borderId="4" xfId="0" applyFont="1" applyBorder="1" applyAlignment="1">
      <alignment horizontal="left" vertical="top" wrapText="1"/>
    </xf>
    <xf numFmtId="2" fontId="14" fillId="0" borderId="4" xfId="0" applyNumberFormat="1" applyFont="1" applyBorder="1" applyAlignment="1">
      <alignment horizontal="center" vertical="center" wrapText="1"/>
    </xf>
    <xf numFmtId="2" fontId="40" fillId="0" borderId="4" xfId="0" applyNumberFormat="1" applyFont="1" applyBorder="1" applyAlignment="1">
      <alignment horizontal="center" vertical="center"/>
    </xf>
    <xf numFmtId="0" fontId="41" fillId="0" borderId="4" xfId="0" applyFont="1" applyBorder="1"/>
    <xf numFmtId="2" fontId="11" fillId="0" borderId="4" xfId="0" applyNumberFormat="1" applyFont="1" applyBorder="1" applyAlignment="1">
      <alignment horizontal="center" vertical="center" wrapText="1"/>
    </xf>
    <xf numFmtId="0" fontId="42" fillId="0" borderId="4" xfId="0" applyFont="1" applyBorder="1" applyAlignment="1">
      <alignment horizontal="center" vertical="center"/>
    </xf>
    <xf numFmtId="0" fontId="11" fillId="0" borderId="4" xfId="0" applyFont="1" applyBorder="1" applyAlignment="1">
      <alignment horizontal="center" vertical="center"/>
    </xf>
    <xf numFmtId="2" fontId="11" fillId="0" borderId="4" xfId="0" applyNumberFormat="1" applyFont="1" applyBorder="1" applyAlignment="1">
      <alignment horizontal="center" vertical="center"/>
    </xf>
    <xf numFmtId="2" fontId="11" fillId="0" borderId="4" xfId="0" applyNumberFormat="1" applyFont="1" applyBorder="1" applyAlignment="1">
      <alignment horizontal="center" vertical="top" wrapText="1"/>
    </xf>
    <xf numFmtId="0" fontId="28" fillId="0" borderId="4" xfId="0" applyFont="1" applyBorder="1" applyAlignment="1">
      <alignment horizontal="center" wrapText="1"/>
    </xf>
    <xf numFmtId="0" fontId="20" fillId="0" borderId="4" xfId="0" applyFont="1" applyBorder="1" applyAlignment="1">
      <alignment horizontal="center" wrapText="1"/>
    </xf>
    <xf numFmtId="0" fontId="28" fillId="0" borderId="1" xfId="0" applyFont="1" applyBorder="1" applyAlignment="1">
      <alignment horizontal="center" wrapText="1"/>
    </xf>
    <xf numFmtId="0" fontId="28" fillId="0" borderId="2" xfId="0" applyFont="1" applyBorder="1" applyAlignment="1">
      <alignment horizontal="center" wrapText="1"/>
    </xf>
    <xf numFmtId="0" fontId="20" fillId="0" borderId="1" xfId="0" applyFont="1" applyBorder="1" applyAlignment="1">
      <alignment horizontal="center" wrapText="1"/>
    </xf>
    <xf numFmtId="2" fontId="12" fillId="0" borderId="4" xfId="0" applyNumberFormat="1" applyFont="1" applyBorder="1" applyAlignment="1">
      <alignment horizontal="center"/>
    </xf>
    <xf numFmtId="0" fontId="10" fillId="0" borderId="4" xfId="0" applyFont="1" applyBorder="1" applyAlignment="1">
      <alignment horizontal="center" wrapText="1"/>
    </xf>
    <xf numFmtId="0" fontId="11" fillId="0" borderId="4" xfId="0" applyFont="1" applyBorder="1" applyAlignment="1">
      <alignment horizontal="center" wrapText="1"/>
    </xf>
    <xf numFmtId="2" fontId="11" fillId="0" borderId="4" xfId="0" applyNumberFormat="1" applyFont="1" applyBorder="1" applyAlignment="1">
      <alignment horizontal="center"/>
    </xf>
    <xf numFmtId="0" fontId="20" fillId="0" borderId="2" xfId="0" applyFont="1" applyBorder="1" applyAlignment="1">
      <alignment horizontal="center" wrapText="1"/>
    </xf>
    <xf numFmtId="0" fontId="44" fillId="0" borderId="0" xfId="0" applyFont="1"/>
    <xf numFmtId="0" fontId="44" fillId="0" borderId="0" xfId="0" applyFont="1" applyAlignment="1">
      <alignment horizontal="center"/>
    </xf>
    <xf numFmtId="0" fontId="11" fillId="0" borderId="4" xfId="0" applyFont="1" applyBorder="1" applyAlignment="1">
      <alignment horizontal="left" vertical="center" wrapText="1"/>
    </xf>
    <xf numFmtId="2" fontId="11" fillId="0" borderId="4" xfId="0" applyNumberFormat="1" applyFont="1" applyBorder="1" applyAlignment="1">
      <alignment horizontal="center" wrapText="1"/>
    </xf>
    <xf numFmtId="0" fontId="11" fillId="0" borderId="4" xfId="0" applyFont="1" applyBorder="1" applyAlignment="1">
      <alignment horizontal="left" vertical="top"/>
    </xf>
    <xf numFmtId="0" fontId="22" fillId="0" borderId="4" xfId="0" applyFont="1" applyBorder="1" applyAlignment="1">
      <alignment horizontal="center" vertical="center"/>
    </xf>
    <xf numFmtId="2" fontId="11" fillId="0" borderId="4" xfId="0" applyNumberFormat="1" applyFont="1" applyBorder="1" applyAlignment="1">
      <alignment horizontal="left" vertical="top"/>
    </xf>
    <xf numFmtId="0" fontId="22" fillId="0" borderId="0" xfId="0" applyFont="1" applyBorder="1" applyAlignment="1">
      <alignment horizontal="center" vertical="center" wrapText="1"/>
    </xf>
    <xf numFmtId="0" fontId="23" fillId="0" borderId="0" xfId="0" applyFont="1" applyBorder="1"/>
    <xf numFmtId="0" fontId="22" fillId="0" borderId="0" xfId="0" applyFont="1" applyBorder="1" applyAlignment="1">
      <alignment horizontal="center" vertical="top" wrapText="1"/>
    </xf>
    <xf numFmtId="2" fontId="20" fillId="0" borderId="4" xfId="0" applyNumberFormat="1" applyFont="1" applyBorder="1" applyAlignment="1">
      <alignment horizontal="left" vertical="top" wrapText="1"/>
    </xf>
    <xf numFmtId="2" fontId="11" fillId="0" borderId="4" xfId="0" applyNumberFormat="1" applyFont="1" applyBorder="1" applyAlignment="1">
      <alignment horizontal="left" vertical="top" wrapText="1"/>
    </xf>
    <xf numFmtId="0" fontId="19" fillId="0" borderId="4"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4" xfId="0" applyFont="1" applyBorder="1" applyAlignment="1">
      <alignment horizontal="justify" vertical="center" wrapText="1"/>
    </xf>
    <xf numFmtId="2" fontId="3" fillId="0" borderId="4" xfId="0" applyNumberFormat="1" applyFont="1" applyBorder="1" applyAlignment="1">
      <alignment horizontal="center" vertical="center" wrapText="1"/>
    </xf>
    <xf numFmtId="0" fontId="47" fillId="0" borderId="4" xfId="0" applyFont="1" applyBorder="1" applyAlignment="1" applyProtection="1">
      <alignment horizontal="justify" vertical="top"/>
      <protection locked="0"/>
    </xf>
    <xf numFmtId="0" fontId="12" fillId="0" borderId="4" xfId="0" applyFont="1" applyBorder="1" applyAlignment="1">
      <alignment horizontal="center"/>
    </xf>
    <xf numFmtId="0" fontId="13" fillId="0" borderId="4" xfId="0" applyFont="1" applyBorder="1" applyAlignment="1">
      <alignment horizontal="justify" vertical="top"/>
    </xf>
    <xf numFmtId="2" fontId="13" fillId="0" borderId="4" xfId="0" applyNumberFormat="1" applyFont="1" applyBorder="1" applyAlignment="1">
      <alignment horizontal="justify" vertical="top"/>
    </xf>
    <xf numFmtId="0" fontId="14" fillId="0" borderId="0" xfId="0" applyFont="1" applyAlignment="1">
      <alignment horizontal="center" vertical="center"/>
    </xf>
    <xf numFmtId="0" fontId="18" fillId="0" borderId="4" xfId="0" applyFont="1" applyBorder="1" applyAlignment="1">
      <alignment vertical="center"/>
    </xf>
    <xf numFmtId="0" fontId="18" fillId="0" borderId="4" xfId="0" applyFont="1" applyBorder="1" applyAlignment="1">
      <alignment wrapText="1"/>
    </xf>
    <xf numFmtId="0" fontId="18" fillId="0" borderId="4" xfId="0" applyFont="1" applyBorder="1" applyAlignment="1">
      <alignment horizontal="center" wrapText="1"/>
    </xf>
    <xf numFmtId="0" fontId="18" fillId="0" borderId="4" xfId="0" applyFont="1" applyBorder="1" applyAlignment="1">
      <alignment vertical="top" wrapText="1"/>
    </xf>
    <xf numFmtId="0" fontId="18" fillId="0" borderId="4" xfId="0" applyFont="1" applyBorder="1" applyAlignment="1">
      <alignment horizontal="left" vertical="top" wrapText="1"/>
    </xf>
    <xf numFmtId="0" fontId="18" fillId="0" borderId="4" xfId="0" applyFont="1" applyBorder="1" applyAlignment="1">
      <alignment horizontal="left" wrapText="1"/>
    </xf>
    <xf numFmtId="0" fontId="18" fillId="0" borderId="4" xfId="0" applyFont="1" applyBorder="1"/>
    <xf numFmtId="0" fontId="50" fillId="0" borderId="4" xfId="0" applyFont="1" applyBorder="1" applyAlignment="1">
      <alignment horizontal="left" vertical="top" wrapText="1"/>
    </xf>
    <xf numFmtId="0" fontId="51" fillId="0" borderId="4" xfId="0" applyFont="1" applyBorder="1" applyAlignment="1">
      <alignment horizontal="center" vertical="center" wrapText="1"/>
    </xf>
    <xf numFmtId="2" fontId="18" fillId="0" borderId="4" xfId="0" applyNumberFormat="1" applyFont="1" applyBorder="1" applyAlignment="1">
      <alignment horizontal="right"/>
    </xf>
    <xf numFmtId="2" fontId="18" fillId="0" borderId="4" xfId="0" applyNumberFormat="1" applyFont="1" applyBorder="1" applyAlignment="1">
      <alignment horizontal="right" vertical="center"/>
    </xf>
    <xf numFmtId="2" fontId="18" fillId="0" borderId="4" xfId="0" applyNumberFormat="1" applyFont="1" applyBorder="1" applyAlignment="1">
      <alignment horizontal="center" vertical="top"/>
    </xf>
    <xf numFmtId="0" fontId="13" fillId="0" borderId="0" xfId="0" applyFont="1" applyAlignment="1">
      <alignment horizontal="center" vertical="center"/>
    </xf>
    <xf numFmtId="2" fontId="0" fillId="0" borderId="0" xfId="0" applyNumberFormat="1"/>
    <xf numFmtId="0" fontId="0" fillId="0" borderId="4" xfId="0" applyFont="1" applyBorder="1" applyAlignment="1">
      <alignment horizontal="center" vertical="center" wrapText="1"/>
    </xf>
    <xf numFmtId="0" fontId="0" fillId="0" borderId="4" xfId="0" applyFont="1" applyBorder="1" applyAlignment="1">
      <alignment vertical="top" wrapText="1"/>
    </xf>
    <xf numFmtId="0" fontId="0" fillId="0" borderId="4" xfId="0" applyFont="1" applyBorder="1" applyAlignment="1">
      <alignment horizontal="left" vertical="top" wrapText="1"/>
    </xf>
    <xf numFmtId="0" fontId="0" fillId="0" borderId="4" xfId="0" applyFont="1" applyBorder="1" applyAlignment="1">
      <alignment horizontal="left" wrapText="1"/>
    </xf>
    <xf numFmtId="0" fontId="0" fillId="0" borderId="4" xfId="0" applyFont="1" applyBorder="1"/>
    <xf numFmtId="0" fontId="52" fillId="0" borderId="4" xfId="0" applyFont="1" applyBorder="1" applyAlignment="1">
      <alignment horizontal="left" vertical="top" wrapText="1"/>
    </xf>
    <xf numFmtId="0" fontId="0" fillId="0" borderId="4" xfId="0" applyFont="1" applyBorder="1" applyAlignment="1">
      <alignment wrapText="1"/>
    </xf>
    <xf numFmtId="0" fontId="0" fillId="0" borderId="4" xfId="0" applyBorder="1" applyAlignment="1">
      <alignment wrapText="1"/>
    </xf>
    <xf numFmtId="0" fontId="53" fillId="0" borderId="4" xfId="0" applyFont="1" applyBorder="1" applyAlignment="1">
      <alignment horizontal="center" vertical="center" wrapText="1"/>
    </xf>
    <xf numFmtId="0" fontId="0" fillId="0" borderId="4" xfId="0" applyFont="1" applyBorder="1" applyAlignment="1">
      <alignment horizontal="center" vertical="center"/>
    </xf>
    <xf numFmtId="2" fontId="0" fillId="0" borderId="4" xfId="0" applyNumberFormat="1" applyFont="1" applyBorder="1" applyAlignment="1">
      <alignment horizontal="center" vertical="center"/>
    </xf>
    <xf numFmtId="0" fontId="0" fillId="0" borderId="4" xfId="0" applyFont="1" applyBorder="1" applyAlignment="1">
      <alignment horizontal="center" wrapText="1"/>
    </xf>
    <xf numFmtId="165" fontId="18" fillId="0" borderId="4" xfId="0" applyNumberFormat="1" applyFont="1" applyBorder="1" applyAlignment="1">
      <alignment horizontal="center"/>
    </xf>
    <xf numFmtId="0" fontId="11" fillId="0" borderId="4" xfId="0" applyFont="1" applyBorder="1" applyAlignment="1">
      <alignment horizontal="center" vertical="center" wrapText="1"/>
    </xf>
    <xf numFmtId="1" fontId="18" fillId="0" borderId="8" xfId="0" applyNumberFormat="1" applyFont="1" applyBorder="1" applyAlignment="1">
      <alignment horizontal="center" vertical="center" wrapText="1"/>
    </xf>
    <xf numFmtId="2" fontId="18" fillId="0" borderId="8" xfId="0" applyNumberFormat="1" applyFont="1" applyBorder="1" applyAlignment="1">
      <alignment horizontal="left" vertical="center" wrapText="1"/>
    </xf>
    <xf numFmtId="0" fontId="0" fillId="0" borderId="0" xfId="0" applyFill="1"/>
    <xf numFmtId="0" fontId="19" fillId="0" borderId="4" xfId="0" applyFont="1" applyBorder="1" applyAlignment="1">
      <alignment horizontal="center" vertical="center" wrapText="1"/>
    </xf>
    <xf numFmtId="0" fontId="12" fillId="0" borderId="4" xfId="0" applyFont="1" applyBorder="1" applyAlignment="1">
      <alignment vertical="center"/>
    </xf>
    <xf numFmtId="0" fontId="12" fillId="0" borderId="4" xfId="0" applyFont="1" applyBorder="1" applyAlignment="1">
      <alignment wrapText="1"/>
    </xf>
    <xf numFmtId="0" fontId="12" fillId="0" borderId="4" xfId="0" applyFont="1" applyBorder="1" applyAlignment="1">
      <alignment horizontal="center" wrapText="1"/>
    </xf>
    <xf numFmtId="0" fontId="12" fillId="0" borderId="4" xfId="0" applyFont="1" applyBorder="1" applyAlignment="1">
      <alignment vertical="top" wrapText="1"/>
    </xf>
    <xf numFmtId="2" fontId="12" fillId="0" borderId="4" xfId="0" applyNumberFormat="1" applyFont="1" applyBorder="1" applyAlignment="1">
      <alignment horizontal="right" vertical="center"/>
    </xf>
    <xf numFmtId="0" fontId="12" fillId="0" borderId="4" xfId="0" applyFont="1" applyBorder="1" applyAlignment="1">
      <alignment horizontal="left" vertical="top" wrapText="1"/>
    </xf>
    <xf numFmtId="0" fontId="12" fillId="0" borderId="4" xfId="0" applyFont="1" applyBorder="1" applyAlignment="1">
      <alignment horizontal="left" wrapText="1"/>
    </xf>
    <xf numFmtId="0" fontId="42" fillId="0" borderId="4" xfId="0" applyFont="1" applyBorder="1" applyAlignment="1">
      <alignment horizontal="center" vertical="center" wrapText="1"/>
    </xf>
    <xf numFmtId="0" fontId="58" fillId="0" borderId="4" xfId="0" applyFont="1" applyBorder="1" applyAlignment="1">
      <alignment horizontal="left" vertical="top" wrapText="1"/>
    </xf>
    <xf numFmtId="0" fontId="24" fillId="0" borderId="4" xfId="0" applyFont="1" applyBorder="1" applyAlignment="1">
      <alignment horizontal="left" vertical="top" wrapText="1"/>
    </xf>
    <xf numFmtId="0" fontId="12" fillId="0" borderId="0" xfId="0" applyFont="1" applyAlignment="1">
      <alignment vertical="center"/>
    </xf>
    <xf numFmtId="165" fontId="12" fillId="0" borderId="4" xfId="0" applyNumberFormat="1" applyFont="1" applyBorder="1" applyAlignment="1">
      <alignment horizontal="right" vertical="center"/>
    </xf>
    <xf numFmtId="0" fontId="59" fillId="0" borderId="4" xfId="0" applyFont="1" applyBorder="1" applyAlignment="1">
      <alignment horizontal="center" vertical="center" wrapText="1"/>
    </xf>
    <xf numFmtId="2" fontId="12" fillId="0" borderId="4" xfId="0" applyNumberFormat="1" applyFont="1" applyBorder="1" applyAlignment="1">
      <alignment horizontal="right"/>
    </xf>
    <xf numFmtId="2" fontId="12" fillId="0" borderId="4" xfId="0" applyNumberFormat="1" applyFont="1" applyBorder="1" applyAlignment="1"/>
    <xf numFmtId="2" fontId="12" fillId="0" borderId="4" xfId="0" applyNumberFormat="1" applyFont="1" applyBorder="1" applyAlignment="1">
      <alignment vertical="top"/>
    </xf>
    <xf numFmtId="0" fontId="12" fillId="0" borderId="4" xfId="0" applyFont="1" applyBorder="1" applyAlignment="1">
      <alignment horizontal="right" wrapText="1"/>
    </xf>
    <xf numFmtId="2" fontId="14" fillId="0" borderId="4" xfId="0" applyNumberFormat="1" applyFont="1" applyBorder="1"/>
    <xf numFmtId="0" fontId="12" fillId="0" borderId="2" xfId="0" applyFont="1" applyBorder="1" applyAlignment="1">
      <alignment horizontal="right"/>
    </xf>
    <xf numFmtId="0" fontId="12" fillId="0" borderId="3" xfId="0" applyFont="1" applyBorder="1" applyAlignment="1">
      <alignment horizontal="right"/>
    </xf>
    <xf numFmtId="0" fontId="19" fillId="0" borderId="0" xfId="0" applyFont="1" applyAlignment="1">
      <alignment horizontal="center" vertical="center"/>
    </xf>
    <xf numFmtId="0" fontId="60" fillId="0" borderId="0" xfId="0" applyFont="1"/>
    <xf numFmtId="164" fontId="14" fillId="0" borderId="4" xfId="0" applyNumberFormat="1" applyFont="1" applyBorder="1" applyAlignment="1">
      <alignment horizontal="center" wrapText="1"/>
    </xf>
    <xf numFmtId="0" fontId="18" fillId="0" borderId="4" xfId="0" applyFont="1" applyBorder="1" applyAlignment="1">
      <alignment horizontal="justify" vertical="top" wrapText="1"/>
    </xf>
    <xf numFmtId="2" fontId="18" fillId="0" borderId="4" xfId="0" applyNumberFormat="1" applyFont="1" applyBorder="1" applyAlignment="1">
      <alignment horizontal="center" wrapText="1"/>
    </xf>
    <xf numFmtId="0" fontId="62" fillId="0" borderId="0" xfId="0" applyFont="1" applyAlignment="1">
      <alignment horizontal="justify" vertical="top" wrapText="1"/>
    </xf>
    <xf numFmtId="0" fontId="18" fillId="0" borderId="4" xfId="0" applyFont="1" applyBorder="1" applyAlignment="1">
      <alignment horizontal="justify" wrapText="1"/>
    </xf>
    <xf numFmtId="0" fontId="63" fillId="0" borderId="4" xfId="0" applyFont="1" applyBorder="1" applyAlignment="1">
      <alignment horizontal="center" vertical="center" wrapText="1"/>
    </xf>
    <xf numFmtId="0" fontId="18" fillId="0" borderId="4" xfId="0" applyFont="1" applyBorder="1" applyAlignment="1">
      <alignment horizontal="justify"/>
    </xf>
    <xf numFmtId="164" fontId="14" fillId="0" borderId="4" xfId="0" applyNumberFormat="1" applyFont="1" applyBorder="1"/>
    <xf numFmtId="0" fontId="12" fillId="0" borderId="4" xfId="0" applyFont="1" applyBorder="1" applyAlignment="1">
      <alignment horizontal="right"/>
    </xf>
    <xf numFmtId="0" fontId="14" fillId="0" borderId="4" xfId="0" applyFont="1" applyBorder="1"/>
    <xf numFmtId="164" fontId="12" fillId="0" borderId="4" xfId="0" applyNumberFormat="1" applyFont="1" applyBorder="1" applyAlignment="1">
      <alignment horizontal="right"/>
    </xf>
    <xf numFmtId="0" fontId="18" fillId="0" borderId="0" xfId="0" applyFont="1"/>
    <xf numFmtId="164" fontId="18" fillId="0" borderId="0" xfId="0" applyNumberFormat="1" applyFont="1"/>
    <xf numFmtId="2" fontId="0" fillId="0" borderId="0" xfId="0" applyNumberFormat="1" applyAlignment="1">
      <alignment horizontal="center"/>
    </xf>
    <xf numFmtId="0" fontId="0" fillId="0" borderId="0" xfId="0" applyAlignment="1">
      <alignment horizontal="center"/>
    </xf>
    <xf numFmtId="0" fontId="23" fillId="0" borderId="4" xfId="0" applyFont="1" applyBorder="1"/>
    <xf numFmtId="0" fontId="12" fillId="0" borderId="0" xfId="0" applyFont="1"/>
    <xf numFmtId="0" fontId="13" fillId="0" borderId="0" xfId="0" applyFont="1" applyAlignment="1">
      <alignment horizontal="left" vertical="top"/>
    </xf>
    <xf numFmtId="0" fontId="18" fillId="0" borderId="4" xfId="0" applyFont="1" applyBorder="1" applyAlignment="1">
      <alignment horizontal="right" vertical="center" wrapText="1"/>
    </xf>
    <xf numFmtId="0" fontId="19" fillId="0" borderId="4" xfId="0" applyFont="1" applyBorder="1" applyAlignment="1">
      <alignment horizontal="center" vertical="center"/>
    </xf>
    <xf numFmtId="0" fontId="14"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1" xfId="0" applyFont="1" applyBorder="1" applyAlignment="1">
      <alignment horizontal="center" vertical="center"/>
    </xf>
    <xf numFmtId="0" fontId="22" fillId="0" borderId="4" xfId="0" applyFont="1" applyBorder="1" applyAlignment="1">
      <alignment horizontal="right" vertical="top" wrapText="1"/>
    </xf>
    <xf numFmtId="0" fontId="22" fillId="0" borderId="4" xfId="0" applyFont="1" applyBorder="1" applyAlignment="1">
      <alignment horizontal="right" wrapText="1"/>
    </xf>
    <xf numFmtId="0" fontId="21" fillId="0" borderId="5" xfId="0" applyFont="1" applyBorder="1" applyAlignment="1">
      <alignment horizontal="center" vertical="center"/>
    </xf>
    <xf numFmtId="0" fontId="21" fillId="0" borderId="2" xfId="0" applyFont="1" applyBorder="1" applyAlignment="1">
      <alignment horizontal="center" vertic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1" xfId="0" applyFont="1"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28" fillId="0" borderId="1" xfId="0" applyFont="1" applyBorder="1" applyAlignment="1">
      <alignment horizontal="right" vertical="top"/>
    </xf>
    <xf numFmtId="0" fontId="28" fillId="0" borderId="2" xfId="0" applyFont="1" applyBorder="1" applyAlignment="1">
      <alignment horizontal="right" vertical="top"/>
    </xf>
    <xf numFmtId="0" fontId="28" fillId="0" borderId="3" xfId="0" applyFont="1" applyBorder="1" applyAlignment="1">
      <alignment horizontal="right" vertical="top"/>
    </xf>
    <xf numFmtId="0" fontId="20" fillId="0" borderId="1" xfId="0" applyFont="1" applyBorder="1" applyAlignment="1">
      <alignment horizontal="right" vertical="top"/>
    </xf>
    <xf numFmtId="0" fontId="20" fillId="0" borderId="2" xfId="0" applyFont="1" applyBorder="1" applyAlignment="1">
      <alignment horizontal="right" vertical="top"/>
    </xf>
    <xf numFmtId="0" fontId="20" fillId="0" borderId="3" xfId="0" applyFont="1" applyBorder="1" applyAlignment="1">
      <alignment horizontal="right" vertical="top"/>
    </xf>
    <xf numFmtId="0" fontId="37" fillId="0" borderId="0" xfId="0" applyFont="1"/>
    <xf numFmtId="0" fontId="27" fillId="0" borderId="0" xfId="0" applyFont="1" applyAlignment="1">
      <alignment horizontal="center"/>
    </xf>
    <xf numFmtId="0" fontId="23" fillId="2" borderId="5" xfId="0" applyFont="1" applyFill="1" applyBorder="1" applyAlignment="1">
      <alignment horizontal="center" vertical="center" wrapText="1"/>
    </xf>
    <xf numFmtId="0" fontId="10" fillId="0" borderId="4" xfId="0" applyFont="1" applyBorder="1" applyAlignment="1">
      <alignment horizontal="left" vertical="top" wrapText="1"/>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7" fillId="0" borderId="0" xfId="0" applyFont="1" applyBorder="1" applyAlignment="1">
      <alignment horizontal="center"/>
    </xf>
    <xf numFmtId="0" fontId="23" fillId="4" borderId="5" xfId="0"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33" fillId="0" borderId="1" xfId="0" applyFont="1" applyBorder="1" applyAlignment="1">
      <alignment horizontal="right" vertical="top"/>
    </xf>
    <xf numFmtId="0" fontId="33" fillId="0" borderId="2" xfId="0" applyFont="1" applyBorder="1" applyAlignment="1">
      <alignment horizontal="right" vertical="top"/>
    </xf>
    <xf numFmtId="0" fontId="33" fillId="0" borderId="3" xfId="0" applyFont="1" applyBorder="1" applyAlignment="1">
      <alignment horizontal="right" vertical="top"/>
    </xf>
    <xf numFmtId="0" fontId="32" fillId="0" borderId="0" xfId="0" applyFont="1" applyAlignment="1">
      <alignment horizontal="center"/>
    </xf>
    <xf numFmtId="0" fontId="32" fillId="2" borderId="5" xfId="0" applyFont="1" applyFill="1" applyBorder="1" applyAlignment="1">
      <alignment horizontal="center" vertical="center" wrapText="1"/>
    </xf>
    <xf numFmtId="0" fontId="33" fillId="0" borderId="4" xfId="0" applyFont="1" applyBorder="1" applyAlignment="1">
      <alignment horizontal="left" vertical="top" wrapText="1"/>
    </xf>
    <xf numFmtId="0" fontId="32" fillId="0" borderId="4" xfId="0" applyFont="1" applyBorder="1" applyAlignment="1">
      <alignment horizontal="left" vertical="top" wrapText="1"/>
    </xf>
    <xf numFmtId="0" fontId="23" fillId="3" borderId="5" xfId="0" applyFont="1" applyFill="1" applyBorder="1" applyAlignment="1">
      <alignment horizontal="center" vertical="center" wrapText="1"/>
    </xf>
    <xf numFmtId="0" fontId="18" fillId="0" borderId="4" xfId="0" applyFont="1" applyBorder="1" applyAlignment="1">
      <alignment horizontal="right"/>
    </xf>
    <xf numFmtId="0" fontId="23" fillId="0" borderId="0" xfId="0" applyFont="1" applyAlignment="1">
      <alignment horizontal="center" wrapText="1"/>
    </xf>
    <xf numFmtId="0" fontId="23" fillId="0" borderId="5" xfId="0" applyFont="1" applyBorder="1" applyAlignment="1">
      <alignment horizontal="center" wrapText="1"/>
    </xf>
    <xf numFmtId="0" fontId="11" fillId="0" borderId="4" xfId="0" applyFont="1" applyBorder="1" applyAlignment="1">
      <alignment horizontal="left" vertical="top" wrapText="1"/>
    </xf>
    <xf numFmtId="0" fontId="20" fillId="0" borderId="4" xfId="0" applyFont="1" applyBorder="1" applyAlignment="1">
      <alignment horizontal="right" vertical="top"/>
    </xf>
    <xf numFmtId="0" fontId="27" fillId="4" borderId="5" xfId="0" applyFont="1" applyFill="1" applyBorder="1" applyAlignment="1">
      <alignment horizontal="center"/>
    </xf>
    <xf numFmtId="0" fontId="10" fillId="0" borderId="3" xfId="0" applyFont="1" applyBorder="1" applyAlignment="1">
      <alignment horizontal="left" vertical="top" wrapText="1"/>
    </xf>
    <xf numFmtId="0" fontId="38" fillId="3" borderId="5" xfId="0" applyFont="1" applyFill="1" applyBorder="1" applyAlignment="1">
      <alignment horizontal="center"/>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3" fillId="0" borderId="2" xfId="0" applyFont="1" applyBorder="1" applyAlignment="1">
      <alignment horizontal="left" vertical="top"/>
    </xf>
    <xf numFmtId="0" fontId="13" fillId="0" borderId="3" xfId="0" applyFont="1" applyBorder="1" applyAlignment="1">
      <alignment horizontal="left"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3" fillId="0" borderId="1" xfId="0" applyFont="1" applyBorder="1" applyAlignment="1">
      <alignment horizontal="left" vertical="top"/>
    </xf>
    <xf numFmtId="0" fontId="16" fillId="0" borderId="2" xfId="0" applyFont="1" applyBorder="1" applyAlignment="1">
      <alignment horizontal="right" vertical="top"/>
    </xf>
    <xf numFmtId="0" fontId="16" fillId="0" borderId="3" xfId="0" applyFont="1" applyBorder="1" applyAlignment="1">
      <alignment horizontal="right"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1" xfId="0" applyFont="1" applyBorder="1" applyAlignment="1">
      <alignment horizontal="right" vertical="top"/>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33" fillId="0" borderId="1" xfId="0" applyFont="1" applyBorder="1" applyAlignment="1">
      <alignment horizontal="right"/>
    </xf>
    <xf numFmtId="0" fontId="33" fillId="0" borderId="2" xfId="0" applyFont="1" applyBorder="1" applyAlignment="1">
      <alignment horizontal="right"/>
    </xf>
    <xf numFmtId="0" fontId="33" fillId="0" borderId="3" xfId="0" applyFont="1" applyBorder="1" applyAlignment="1">
      <alignment horizontal="right"/>
    </xf>
    <xf numFmtId="0" fontId="33" fillId="0" borderId="1" xfId="0" applyFont="1" applyBorder="1" applyAlignment="1">
      <alignment horizontal="right" vertical="center"/>
    </xf>
    <xf numFmtId="0" fontId="33" fillId="0" borderId="2" xfId="0" applyFont="1" applyBorder="1" applyAlignment="1">
      <alignment horizontal="right" vertical="center"/>
    </xf>
    <xf numFmtId="0" fontId="33" fillId="0" borderId="3" xfId="0" applyFont="1" applyBorder="1" applyAlignment="1">
      <alignment horizontal="right" vertical="center"/>
    </xf>
    <xf numFmtId="0" fontId="25" fillId="0" borderId="4" xfId="0" applyFont="1" applyBorder="1" applyAlignment="1">
      <alignment horizontal="center" vertical="center"/>
    </xf>
    <xf numFmtId="0" fontId="11" fillId="0" borderId="4" xfId="0" applyFont="1" applyBorder="1" applyAlignment="1">
      <alignment horizontal="center" vertical="center" wrapText="1"/>
    </xf>
    <xf numFmtId="0" fontId="20" fillId="0" borderId="2" xfId="0" applyFont="1" applyBorder="1" applyAlignment="1">
      <alignment horizontal="center" wrapText="1"/>
    </xf>
    <xf numFmtId="0" fontId="20" fillId="0" borderId="3" xfId="0" applyFont="1" applyBorder="1" applyAlignment="1">
      <alignment horizontal="center" wrapText="1"/>
    </xf>
    <xf numFmtId="0" fontId="20" fillId="0" borderId="2" xfId="0" applyFont="1" applyBorder="1" applyAlignment="1">
      <alignment horizontal="right" wrapText="1"/>
    </xf>
    <xf numFmtId="0" fontId="20" fillId="0" borderId="3" xfId="0" applyFont="1" applyBorder="1" applyAlignment="1">
      <alignment horizontal="right" wrapText="1"/>
    </xf>
    <xf numFmtId="0" fontId="20" fillId="0" borderId="1" xfId="0" applyFont="1" applyBorder="1" applyAlignment="1">
      <alignment horizontal="right" wrapText="1"/>
    </xf>
    <xf numFmtId="0" fontId="45" fillId="0" borderId="0" xfId="0" applyFont="1"/>
    <xf numFmtId="0" fontId="22" fillId="0" borderId="1" xfId="0" applyFont="1" applyBorder="1" applyAlignment="1">
      <alignment horizontal="right" vertical="top" wrapText="1"/>
    </xf>
    <xf numFmtId="0" fontId="22" fillId="0" borderId="2" xfId="0" applyFont="1" applyBorder="1" applyAlignment="1">
      <alignment horizontal="right" vertical="top" wrapText="1"/>
    </xf>
    <xf numFmtId="0" fontId="22" fillId="0" borderId="3" xfId="0" applyFont="1" applyBorder="1" applyAlignment="1">
      <alignment horizontal="right" vertical="top" wrapText="1"/>
    </xf>
    <xf numFmtId="0" fontId="22" fillId="0" borderId="1" xfId="0" applyFont="1" applyBorder="1" applyAlignment="1">
      <alignment horizontal="right" wrapText="1"/>
    </xf>
    <xf numFmtId="0" fontId="22" fillId="0" borderId="2" xfId="0" applyFont="1" applyBorder="1" applyAlignment="1">
      <alignment horizontal="right" wrapText="1"/>
    </xf>
    <xf numFmtId="0" fontId="22" fillId="0" borderId="3" xfId="0" applyFont="1" applyBorder="1" applyAlignment="1">
      <alignment horizontal="right" wrapText="1"/>
    </xf>
    <xf numFmtId="0" fontId="46" fillId="0" borderId="5" xfId="0" applyFont="1" applyBorder="1" applyAlignment="1">
      <alignment horizontal="center" vertical="center"/>
    </xf>
    <xf numFmtId="0" fontId="19" fillId="0" borderId="2" xfId="0" applyFont="1" applyBorder="1" applyAlignment="1">
      <alignment horizontal="center" vertical="center"/>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11" fillId="0" borderId="1" xfId="0" applyFont="1" applyBorder="1" applyAlignment="1">
      <alignment horizontal="right" vertical="top" wrapText="1"/>
    </xf>
    <xf numFmtId="0" fontId="11" fillId="0" borderId="2" xfId="0" applyFont="1" applyBorder="1" applyAlignment="1">
      <alignment horizontal="right" vertical="top" wrapText="1"/>
    </xf>
    <xf numFmtId="0" fontId="11" fillId="0" borderId="3" xfId="0" applyFont="1" applyBorder="1" applyAlignment="1">
      <alignment horizontal="right" vertical="top" wrapText="1"/>
    </xf>
    <xf numFmtId="0" fontId="11" fillId="0" borderId="1" xfId="0" applyFont="1" applyBorder="1" applyAlignment="1">
      <alignment horizontal="right" wrapText="1"/>
    </xf>
    <xf numFmtId="0" fontId="11" fillId="0" borderId="2" xfId="0" applyFont="1" applyBorder="1" applyAlignment="1">
      <alignment horizontal="right" wrapText="1"/>
    </xf>
    <xf numFmtId="0" fontId="11" fillId="0" borderId="3" xfId="0" applyFont="1" applyBorder="1" applyAlignment="1">
      <alignment horizontal="right" wrapText="1"/>
    </xf>
    <xf numFmtId="0" fontId="32" fillId="0" borderId="4" xfId="0" applyFont="1" applyBorder="1" applyAlignment="1">
      <alignment horizontal="center" vertical="top" wrapText="1"/>
    </xf>
    <xf numFmtId="0" fontId="18" fillId="0" borderId="2" xfId="0" applyFont="1" applyBorder="1" applyAlignment="1">
      <alignment horizontal="right"/>
    </xf>
    <xf numFmtId="0" fontId="18" fillId="0" borderId="3" xfId="0" applyFont="1" applyBorder="1" applyAlignment="1">
      <alignment horizontal="right"/>
    </xf>
    <xf numFmtId="0" fontId="48" fillId="0" borderId="5" xfId="0" applyFont="1" applyBorder="1" applyAlignment="1">
      <alignment horizontal="center" vertical="top" wrapText="1"/>
    </xf>
    <xf numFmtId="0" fontId="49" fillId="0" borderId="5" xfId="0" applyFont="1" applyBorder="1" applyAlignment="1">
      <alignment horizontal="center" vertical="top" wrapText="1"/>
    </xf>
    <xf numFmtId="0" fontId="48" fillId="3" borderId="2" xfId="0" applyFont="1" applyFill="1" applyBorder="1" applyAlignment="1">
      <alignment horizontal="center" vertical="top" wrapText="1"/>
    </xf>
    <xf numFmtId="0" fontId="18" fillId="0" borderId="2" xfId="0" applyFont="1" applyBorder="1" applyAlignment="1">
      <alignment horizontal="left" vertical="top" wrapText="1"/>
    </xf>
    <xf numFmtId="0" fontId="12" fillId="0" borderId="4" xfId="0" applyFont="1" applyBorder="1" applyAlignment="1">
      <alignment horizontal="right"/>
    </xf>
    <xf numFmtId="0" fontId="61" fillId="3" borderId="1" xfId="0" applyFont="1" applyFill="1" applyBorder="1" applyAlignment="1">
      <alignment horizontal="center" vertical="center"/>
    </xf>
    <xf numFmtId="0" fontId="61" fillId="3" borderId="2" xfId="0" applyFont="1" applyFill="1" applyBorder="1" applyAlignment="1">
      <alignment horizontal="center" vertical="center"/>
    </xf>
    <xf numFmtId="0" fontId="61" fillId="3" borderId="3" xfId="0" applyFont="1" applyFill="1" applyBorder="1" applyAlignment="1">
      <alignment horizontal="center" vertical="center"/>
    </xf>
    <xf numFmtId="0" fontId="28" fillId="0" borderId="1" xfId="0" applyFont="1" applyBorder="1" applyAlignment="1">
      <alignment horizontal="left" vertical="top"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12" fillId="0" borderId="1" xfId="0" applyFont="1" applyBorder="1" applyAlignment="1">
      <alignment horizontal="right" wrapText="1"/>
    </xf>
    <xf numFmtId="0" fontId="12" fillId="0" borderId="2" xfId="0" applyFont="1" applyBorder="1" applyAlignment="1">
      <alignment horizontal="right" wrapText="1"/>
    </xf>
    <xf numFmtId="0" fontId="12" fillId="0" borderId="3" xfId="0" applyFont="1" applyBorder="1" applyAlignment="1">
      <alignment horizontal="right" wrapText="1"/>
    </xf>
    <xf numFmtId="0" fontId="12" fillId="0" borderId="2" xfId="0" applyFont="1" applyBorder="1" applyAlignment="1">
      <alignment horizontal="right"/>
    </xf>
    <xf numFmtId="0" fontId="12" fillId="0" borderId="3" xfId="0" applyFont="1" applyBorder="1" applyAlignment="1">
      <alignment horizontal="right"/>
    </xf>
    <xf numFmtId="0" fontId="12" fillId="0" borderId="9" xfId="0" applyFont="1" applyBorder="1" applyAlignment="1">
      <alignment horizontal="center"/>
    </xf>
    <xf numFmtId="0" fontId="12" fillId="0" borderId="6" xfId="0"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0"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5" xfId="0" applyFont="1" applyBorder="1" applyAlignment="1">
      <alignment horizontal="center"/>
    </xf>
    <xf numFmtId="0" fontId="12" fillId="0" borderId="14" xfId="0" applyFont="1" applyBorder="1" applyAlignment="1">
      <alignment horizontal="center"/>
    </xf>
    <xf numFmtId="0" fontId="54" fillId="0" borderId="5" xfId="0" applyFont="1" applyBorder="1" applyAlignment="1">
      <alignment horizontal="center" vertical="top" wrapText="1"/>
    </xf>
    <xf numFmtId="0" fontId="55" fillId="0" borderId="5" xfId="0" applyFont="1" applyBorder="1" applyAlignment="1">
      <alignment horizontal="center" vertical="top" wrapText="1"/>
    </xf>
    <xf numFmtId="0" fontId="56" fillId="3" borderId="2" xfId="0" applyFont="1" applyFill="1" applyBorder="1" applyAlignment="1">
      <alignment horizontal="center" vertical="top" wrapText="1"/>
    </xf>
    <xf numFmtId="0" fontId="19" fillId="0" borderId="2" xfId="0" applyFont="1" applyBorder="1" applyAlignment="1">
      <alignment horizontal="left" vertical="top" wrapText="1"/>
    </xf>
    <xf numFmtId="0" fontId="57" fillId="0" borderId="2"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externalLink" Target="externalLinks/externalLink7.xml"/><Relationship Id="rId63" Type="http://schemas.openxmlformats.org/officeDocument/2006/relationships/externalLink" Target="externalLinks/externalLink15.xml"/><Relationship Id="rId68" Type="http://schemas.openxmlformats.org/officeDocument/2006/relationships/externalLink" Target="externalLinks/externalLink20.xml"/><Relationship Id="rId76" Type="http://schemas.openxmlformats.org/officeDocument/2006/relationships/externalLink" Target="externalLinks/externalLink28.xml"/><Relationship Id="rId7" Type="http://schemas.openxmlformats.org/officeDocument/2006/relationships/worksheet" Target="worksheets/sheet7.xml"/><Relationship Id="rId71"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8" Type="http://schemas.openxmlformats.org/officeDocument/2006/relationships/externalLink" Target="externalLinks/externalLink10.xml"/><Relationship Id="rId66" Type="http://schemas.openxmlformats.org/officeDocument/2006/relationships/externalLink" Target="externalLinks/externalLink18.xml"/><Relationship Id="rId74" Type="http://schemas.openxmlformats.org/officeDocument/2006/relationships/externalLink" Target="externalLinks/externalLink26.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 Id="rId60" Type="http://schemas.openxmlformats.org/officeDocument/2006/relationships/externalLink" Target="externalLinks/externalLink12.xml"/><Relationship Id="rId65" Type="http://schemas.openxmlformats.org/officeDocument/2006/relationships/externalLink" Target="externalLinks/externalLink17.xml"/><Relationship Id="rId73" Type="http://schemas.openxmlformats.org/officeDocument/2006/relationships/externalLink" Target="externalLinks/externalLink25.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8.xml"/><Relationship Id="rId64" Type="http://schemas.openxmlformats.org/officeDocument/2006/relationships/externalLink" Target="externalLinks/externalLink16.xml"/><Relationship Id="rId69" Type="http://schemas.openxmlformats.org/officeDocument/2006/relationships/externalLink" Target="externalLinks/externalLink21.xml"/><Relationship Id="rId77" Type="http://schemas.openxmlformats.org/officeDocument/2006/relationships/externalLink" Target="externalLinks/externalLink29.xml"/><Relationship Id="rId8" Type="http://schemas.openxmlformats.org/officeDocument/2006/relationships/worksheet" Target="worksheets/sheet8.xml"/><Relationship Id="rId51" Type="http://schemas.openxmlformats.org/officeDocument/2006/relationships/externalLink" Target="externalLinks/externalLink3.xml"/><Relationship Id="rId72" Type="http://schemas.openxmlformats.org/officeDocument/2006/relationships/externalLink" Target="externalLinks/externalLink24.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1.xml"/><Relationship Id="rId67" Type="http://schemas.openxmlformats.org/officeDocument/2006/relationships/externalLink" Target="externalLinks/externalLink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6.xml"/><Relationship Id="rId62" Type="http://schemas.openxmlformats.org/officeDocument/2006/relationships/externalLink" Target="externalLinks/externalLink14.xml"/><Relationship Id="rId70" Type="http://schemas.openxmlformats.org/officeDocument/2006/relationships/externalLink" Target="externalLinks/externalLink22.xml"/><Relationship Id="rId75"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WARD%20-06\ROAD\PCC%20ROAD%20Bandhgari%20Krisn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r-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abbas\LS%20Qtr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abbas\bhim%20Pande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abbas\Kashi%20Chowrasi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abbas\aMRUD%20BAGA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abbas\Sipahije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abbas\CHOTU%20jAISW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WARD-29\PCC%20ROAD\(2)%20PCC%20MODI%20HEIGHT%20PRADEEP%20RAJGARIY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WARD-29\PCC%20ROAD\(1)%20PCC%20IRGU%20TOLI%20-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ARD%20-07\ROAD\PCC%20ROAD%20gadigaon%20Pahantoli%20kuwar%20rund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WARD%2030\Aryapuri%20main%20road%20no%201%20ward%203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WARD%2030\Aryapuri%20road%20no%201%20ward%203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WARD%2030\Idrapuri%20road%20n13%20we%203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Ward%2031\SUKHDEV%20NAGAR%20W%203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Ward%2031\DEVI%20MANDAP%20W%203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Ward%2031\Pcc%20rd%20indrpuri%20rd%20no%20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Ward%2032\MUSLIM%20BASTI%20W%203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Ward%2032\BHATHI%20MOHALLA%20W%203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New%20folder%20(2)\P.C.C%20ROAD%20AT%20NOBER%20EKKA%20W.N,%203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BOQ%202022\VINDYAVASHNI%20ROAD%20NO%203%20me%20pcc%20road%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WARD%20-07\ROAD\PCC%20ROAD%20Khorhatoli%20biridg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ARD%20-07\ROAD\PCC%20ROAD%20Don%20Bosko%20school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ARD%20-07\DRAIN\RCC%20DRain%20Hotwar%20Lohra%20Tol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WARD%20-07\ROAD\PCC%20ROAD%20MAHUA%20toli%20nearkabrista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ward%2013\(7)%20DRAIN%20BHUIYA%20TOLI%20%20RN.%20RAM-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Downloads/alberrt%20compound%20PCC%20ROA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WARD-24\PCC%20ROAD\(3)%20PCC%20KADRU%20SARNA%20TOLI,%20AMIT-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Bandh€gari €krishna"/>
      <sheetName val="BOQ"/>
    </sheetNames>
    <sheetDataSet>
      <sheetData sheetId="0" refreshError="1">
        <row r="3">
          <cell r="A3" t="str">
            <v>Name of Work :- Construction of PCC Road at New Nagar Bandhgari from house of Yugal Singh Munda house to Prakash Ram house under ward no-06</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I12">
            <v>347.85</v>
          </cell>
        </row>
        <row r="13">
          <cell r="A13" t="str">
            <v>3 5.6.8WRD</v>
          </cell>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I16">
            <v>1756.4</v>
          </cell>
        </row>
        <row r="17">
          <cell r="A17" t="str">
            <v>4 5.3.1.1</v>
          </cell>
          <cell r="B17" t="str">
            <v>Providing and laying in position cement concrete of specified grade excluding the cost of centering and shuttering - All work up to plinth level1:1.5:3 (1 Cement : 1.5 coarse sand zone(III): 3 graded stone aggregate 20mm nominal size)</v>
          </cell>
        </row>
        <row r="20">
          <cell r="I20">
            <v>4961.7299999999996</v>
          </cell>
        </row>
        <row r="21">
          <cell r="A21" t="str">
            <v>55.3.17.1</v>
          </cell>
          <cell r="B21" t="str">
            <v>Centering and Shuttering including strutting, propping etc and removal of from for   Foundation , footing , bases of columns etc for mass concrete.</v>
          </cell>
        </row>
        <row r="24">
          <cell r="I24">
            <v>194.5</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2">
          <cell r="B2" t="str">
            <v>Name of Work :- Construction of P.C.C road  inAshok Vihar Extension near Ashhoka Apartment Under Ward No.25.</v>
          </cell>
        </row>
        <row r="8">
          <cell r="G8">
            <v>54.29</v>
          </cell>
        </row>
        <row r="13">
          <cell r="G13">
            <v>23.020000000000003</v>
          </cell>
        </row>
        <row r="18">
          <cell r="G18">
            <v>38.36</v>
          </cell>
        </row>
        <row r="22">
          <cell r="G22">
            <v>38.949999999999996</v>
          </cell>
        </row>
        <row r="27">
          <cell r="G27">
            <v>23.240000000000002</v>
          </cell>
        </row>
      </sheetData>
      <sheetData sheetId="1">
        <row r="7">
          <cell r="E7">
            <v>23.020000000000003</v>
          </cell>
          <cell r="F7">
            <v>16.71</v>
          </cell>
          <cell r="G7">
            <v>33.42</v>
          </cell>
          <cell r="H7">
            <v>38.36</v>
          </cell>
          <cell r="I7">
            <v>54.29</v>
          </cell>
        </row>
      </sheetData>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2">
          <cell r="B2" t="str">
            <v>Name of Work :- Construction of P.C.C road  inHarmu Housing Colony Around Sec VI Park and HI Qtrs. Near Astha Hospital Under Ward No.25.</v>
          </cell>
        </row>
        <row r="9">
          <cell r="G9">
            <v>46.36</v>
          </cell>
        </row>
        <row r="15">
          <cell r="G15">
            <v>25.560000000000002</v>
          </cell>
        </row>
        <row r="21">
          <cell r="G21">
            <v>42.6</v>
          </cell>
        </row>
        <row r="26">
          <cell r="G26">
            <v>118.24000000000001</v>
          </cell>
        </row>
        <row r="31">
          <cell r="G31">
            <v>60.41</v>
          </cell>
        </row>
      </sheetData>
      <sheetData sheetId="1">
        <row r="7">
          <cell r="E7">
            <v>25.560000000000002</v>
          </cell>
          <cell r="F7">
            <v>50.73</v>
          </cell>
          <cell r="G7">
            <v>101.46</v>
          </cell>
          <cell r="H7">
            <v>42.6</v>
          </cell>
          <cell r="I7">
            <v>46.36</v>
          </cell>
        </row>
      </sheetData>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7">
          <cell r="E7">
            <v>9.2099999999999991</v>
          </cell>
          <cell r="F7">
            <v>7.91</v>
          </cell>
          <cell r="G7">
            <v>15.82</v>
          </cell>
          <cell r="H7">
            <v>15.35</v>
          </cell>
          <cell r="I7">
            <v>30.69</v>
          </cell>
        </row>
      </sheetData>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7">
          <cell r="E7">
            <v>22.167999999999999</v>
          </cell>
          <cell r="F7">
            <v>39.799999999999997</v>
          </cell>
          <cell r="G7">
            <v>5.67</v>
          </cell>
        </row>
      </sheetData>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7">
          <cell r="E7">
            <v>15.37</v>
          </cell>
          <cell r="F7">
            <v>32.33</v>
          </cell>
          <cell r="G7">
            <v>64.66</v>
          </cell>
          <cell r="H7">
            <v>25.610000000000003</v>
          </cell>
          <cell r="I7">
            <v>27.1</v>
          </cell>
        </row>
      </sheetData>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38.239999999999995</v>
          </cell>
        </row>
        <row r="12">
          <cell r="G12">
            <v>25.1</v>
          </cell>
        </row>
      </sheetData>
      <sheetData sheetId="1">
        <row r="4">
          <cell r="E4">
            <v>16.41</v>
          </cell>
          <cell r="F4">
            <v>32.82</v>
          </cell>
        </row>
      </sheetData>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8">
          <cell r="G8">
            <v>70.430000000000007</v>
          </cell>
        </row>
        <row r="13">
          <cell r="G13">
            <v>43.379999999999995</v>
          </cell>
        </row>
      </sheetData>
      <sheetData sheetId="1">
        <row r="4">
          <cell r="E4">
            <v>30.23</v>
          </cell>
          <cell r="F4">
            <v>60.46</v>
          </cell>
        </row>
      </sheetData>
      <sheetData sheetId="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8">
          <cell r="G8">
            <v>33.989999999999995</v>
          </cell>
        </row>
        <row r="13">
          <cell r="G13">
            <v>22.310000000000002</v>
          </cell>
        </row>
        <row r="15">
          <cell r="G15">
            <v>14.6</v>
          </cell>
        </row>
        <row r="16">
          <cell r="G16">
            <v>29.2</v>
          </cell>
        </row>
      </sheetData>
      <sheetData sheetId="1"/>
      <sheetData sheetId="2"/>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4">
          <cell r="A4">
            <v>1</v>
          </cell>
          <cell r="B4" t="str">
            <v>Labour for site clearence before and after the work etc.</v>
          </cell>
          <cell r="G4">
            <v>9</v>
          </cell>
          <cell r="I4">
            <v>326.85000000000002</v>
          </cell>
        </row>
        <row r="5">
          <cell r="A5" t="str">
            <v>2.     5.3.1.1</v>
          </cell>
          <cell r="B5" t="str">
            <v xml:space="preserve">Providing and laying in position cement concrete of specified grade excluding the cost of centering and shuttering- All work upto plinth level : 1:1½:3 (1 cemet : 1½ coarse sand (zone-iii) : 3 graded stone aggregate 20mm nominal size )  </v>
          </cell>
        </row>
        <row r="8">
          <cell r="G8">
            <v>57.77</v>
          </cell>
          <cell r="I8">
            <v>4961.7299999999996</v>
          </cell>
        </row>
        <row r="9">
          <cell r="A9" t="str">
            <v>3                 5.3.17.1</v>
          </cell>
          <cell r="B9" t="str">
            <v>Centering and shuttering including strutting, propping etc. and removal of from for Foundations,footings, bases of columns, etc. for mass concrete.</v>
          </cell>
        </row>
        <row r="12">
          <cell r="G12">
            <v>31.6</v>
          </cell>
          <cell r="I12">
            <v>194.5</v>
          </cell>
        </row>
        <row r="13">
          <cell r="A13">
            <v>4</v>
          </cell>
        </row>
        <row r="14">
          <cell r="G14">
            <v>24.84</v>
          </cell>
          <cell r="I14">
            <v>819.06</v>
          </cell>
        </row>
        <row r="15">
          <cell r="G15">
            <v>49.68</v>
          </cell>
          <cell r="I15">
            <v>417.3</v>
          </cell>
        </row>
      </sheetData>
      <sheetData sheetId="1"/>
      <sheetData sheetId="2"/>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FROM Md. TANVIR HOUSE TO IRGU TOLI, MASZID  UNDER WARD NO-29</v>
          </cell>
        </row>
        <row r="4">
          <cell r="A4">
            <v>1</v>
          </cell>
          <cell r="B4" t="str">
            <v>Labour for site clearence before and after the work etc.</v>
          </cell>
          <cell r="I4">
            <v>326.85000000000002</v>
          </cell>
        </row>
        <row r="5">
          <cell r="A5" t="str">
            <v>2.     5.3.1.1</v>
          </cell>
          <cell r="B5" t="str">
            <v xml:space="preserve">Providing and laying in position concrete of specified grade excluding the cost of centering and shuttering- All work upto plinth level : 1:1½:3 (1 cemet : 1½ coarse sand (zone-iii) : 3 graded stone aggregate 20mm nominal size )  </v>
          </cell>
        </row>
        <row r="8">
          <cell r="G8">
            <v>47.58</v>
          </cell>
          <cell r="I8">
            <v>4961.7299999999996</v>
          </cell>
        </row>
        <row r="9">
          <cell r="A9" t="str">
            <v>3               5.3.17.1</v>
          </cell>
          <cell r="B9" t="str">
            <v>Centering and shuttering including strutting, propping etc. and removal of from for Foundations,footings, bases of columns, etc. for mass concrete.</v>
          </cell>
        </row>
        <row r="12">
          <cell r="G12">
            <v>26.02</v>
          </cell>
          <cell r="I12">
            <v>194.5</v>
          </cell>
        </row>
        <row r="13">
          <cell r="A13">
            <v>4</v>
          </cell>
        </row>
        <row r="14">
          <cell r="I14">
            <v>819.06</v>
          </cell>
        </row>
        <row r="15">
          <cell r="I15">
            <v>417.3</v>
          </cell>
        </row>
      </sheetData>
      <sheetData sheetId="1"/>
      <sheetData sheetId="2">
        <row r="4">
          <cell r="E4">
            <v>20.46</v>
          </cell>
          <cell r="F4">
            <v>40.92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Gadigaon Kuwar €runda"/>
      <sheetName val="BOQ"/>
    </sheetNames>
    <sheetDataSet>
      <sheetData sheetId="0" refreshError="1">
        <row r="3">
          <cell r="A3" t="str">
            <v>Name of Work :- Construction of PCC Road at Gadigaon,Pahantoli from house of Kunwar Runda to house of Surendra Kujur under ward no-07</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61.21</v>
          </cell>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G12">
            <v>17.18</v>
          </cell>
          <cell r="I12">
            <v>347.85</v>
          </cell>
        </row>
        <row r="13">
          <cell r="A13" t="str">
            <v>3 5.6.8WRD</v>
          </cell>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G16">
            <v>44.03</v>
          </cell>
          <cell r="I16">
            <v>1756.4</v>
          </cell>
        </row>
        <row r="17">
          <cell r="A17" t="str">
            <v>4 5.3.1.1</v>
          </cell>
          <cell r="B17" t="str">
            <v>Providing and laying in position cement concrete of specified grade excluding the cost of centering and shuttering - All work up to plinth level1:1.5:3 (1 Cement : 1.5 coarse sand zone(III): 3 graded stone aggregate 20mm nominal size)</v>
          </cell>
        </row>
        <row r="20">
          <cell r="G20">
            <v>53.7</v>
          </cell>
          <cell r="I20">
            <v>4961.7299999999996</v>
          </cell>
        </row>
        <row r="21">
          <cell r="A21" t="str">
            <v>55.3.17.1</v>
          </cell>
          <cell r="B21" t="str">
            <v>Centering and Shuttering including strutting, propping etc and removal of from for   Foundation , footing , bases of columns etc for mass concrete.</v>
          </cell>
        </row>
        <row r="24">
          <cell r="G24">
            <v>29.37</v>
          </cell>
          <cell r="I24">
            <v>194.5</v>
          </cell>
        </row>
        <row r="26">
          <cell r="G26">
            <v>23.09</v>
          </cell>
          <cell r="I26">
            <v>848.82</v>
          </cell>
        </row>
        <row r="27">
          <cell r="B27" t="str">
            <v>Stone Dust (Lead 22 KM)</v>
          </cell>
          <cell r="G27">
            <v>17.18</v>
          </cell>
          <cell r="I27">
            <v>447.06</v>
          </cell>
        </row>
        <row r="28">
          <cell r="G28">
            <v>44.03</v>
          </cell>
          <cell r="I28">
            <v>679.66</v>
          </cell>
        </row>
        <row r="29">
          <cell r="G29">
            <v>46.18</v>
          </cell>
          <cell r="I29">
            <v>447.06</v>
          </cell>
        </row>
        <row r="30">
          <cell r="G30">
            <v>61.21</v>
          </cell>
          <cell r="I30">
            <v>117.54</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98.56</v>
          </cell>
          <cell r="I7">
            <v>4961.7299999999996</v>
          </cell>
        </row>
        <row r="13">
          <cell r="G13">
            <v>53.91</v>
          </cell>
          <cell r="I13">
            <v>194.5</v>
          </cell>
        </row>
        <row r="17">
          <cell r="G17">
            <v>42.38</v>
          </cell>
          <cell r="I17">
            <v>848.82</v>
          </cell>
        </row>
        <row r="18">
          <cell r="G18">
            <v>84.76</v>
          </cell>
          <cell r="I18">
            <v>447.06</v>
          </cell>
        </row>
      </sheetData>
      <sheetData sheetId="1"/>
      <sheetData sheetId="2"/>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84.01</v>
          </cell>
          <cell r="I7">
            <v>4961.7299999999996</v>
          </cell>
        </row>
        <row r="13">
          <cell r="G13">
            <v>52.51</v>
          </cell>
          <cell r="I13">
            <v>194.5</v>
          </cell>
        </row>
        <row r="17">
          <cell r="G17">
            <v>36.119999999999997</v>
          </cell>
          <cell r="I17">
            <v>848.82</v>
          </cell>
        </row>
        <row r="18">
          <cell r="G18">
            <v>72.25</v>
          </cell>
          <cell r="I18">
            <v>447.06</v>
          </cell>
        </row>
      </sheetData>
      <sheetData sheetId="1"/>
      <sheetData sheetId="2"/>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43.61</v>
          </cell>
          <cell r="I7">
            <v>4961.7299999999996</v>
          </cell>
        </row>
        <row r="13">
          <cell r="G13">
            <v>35.79</v>
          </cell>
          <cell r="I13">
            <v>194.5</v>
          </cell>
        </row>
        <row r="17">
          <cell r="G17">
            <v>18.75</v>
          </cell>
          <cell r="I17">
            <v>848.82</v>
          </cell>
        </row>
        <row r="18">
          <cell r="G18">
            <v>37.5</v>
          </cell>
          <cell r="I18">
            <v>447.06</v>
          </cell>
        </row>
      </sheetData>
      <sheetData sheetId="1"/>
      <sheetData sheetId="2"/>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ESTIMATE"/>
      <sheetName val="MATERIAL STATEMENT"/>
      <sheetName val="BOQ"/>
    </sheetNames>
    <sheetDataSet>
      <sheetData sheetId="0">
        <row r="7">
          <cell r="G7">
            <v>11.38</v>
          </cell>
          <cell r="I7">
            <v>151.82</v>
          </cell>
        </row>
        <row r="11">
          <cell r="G11">
            <v>4.25</v>
          </cell>
          <cell r="I11">
            <v>589.51</v>
          </cell>
        </row>
        <row r="16">
          <cell r="G16">
            <v>14.27</v>
          </cell>
          <cell r="I16">
            <v>1756.4</v>
          </cell>
        </row>
        <row r="20">
          <cell r="G20">
            <v>84.96</v>
          </cell>
          <cell r="I20">
            <v>4961.7299999999996</v>
          </cell>
        </row>
        <row r="24">
          <cell r="G24">
            <v>46.47</v>
          </cell>
          <cell r="I24">
            <v>194.5</v>
          </cell>
        </row>
        <row r="26">
          <cell r="G26">
            <v>36.53</v>
          </cell>
        </row>
        <row r="27">
          <cell r="G27">
            <v>4.25</v>
          </cell>
        </row>
        <row r="28">
          <cell r="G28">
            <v>14.27</v>
          </cell>
        </row>
        <row r="29">
          <cell r="G29">
            <v>73.069999999999993</v>
          </cell>
        </row>
        <row r="30">
          <cell r="G30">
            <v>11.38</v>
          </cell>
        </row>
      </sheetData>
      <sheetData sheetId="1"/>
      <sheetData sheetId="2"/>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ESTIMATE"/>
      <sheetName val="MATERIAL STATEMENT"/>
      <sheetName val="BOQ"/>
    </sheetNames>
    <sheetDataSet>
      <sheetData sheetId="0">
        <row r="7">
          <cell r="G7">
            <v>17.27</v>
          </cell>
          <cell r="I7">
            <v>151.82</v>
          </cell>
        </row>
        <row r="11">
          <cell r="G11">
            <v>6.44</v>
          </cell>
          <cell r="I11">
            <v>589.51</v>
          </cell>
        </row>
        <row r="15">
          <cell r="G15">
            <v>10.72</v>
          </cell>
          <cell r="I15">
            <v>1756.4</v>
          </cell>
        </row>
        <row r="19">
          <cell r="G19">
            <v>12.89</v>
          </cell>
          <cell r="I19">
            <v>4961.7299999999996</v>
          </cell>
        </row>
        <row r="23">
          <cell r="G23">
            <v>8.4600000000000009</v>
          </cell>
          <cell r="I23">
            <v>194.5</v>
          </cell>
        </row>
        <row r="25">
          <cell r="G25">
            <v>5.5427</v>
          </cell>
        </row>
      </sheetData>
      <sheetData sheetId="1">
        <row r="7">
          <cell r="E7">
            <v>6.44</v>
          </cell>
          <cell r="G7">
            <v>11.0854</v>
          </cell>
          <cell r="H7">
            <v>10.72</v>
          </cell>
          <cell r="I7">
            <v>17.27</v>
          </cell>
        </row>
      </sheetData>
      <sheetData sheetId="2"/>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16.7</v>
          </cell>
          <cell r="I7">
            <v>151.82</v>
          </cell>
        </row>
        <row r="11">
          <cell r="G11">
            <v>6.23</v>
          </cell>
          <cell r="I11">
            <v>589.51</v>
          </cell>
        </row>
        <row r="15">
          <cell r="G15">
            <v>10.47</v>
          </cell>
          <cell r="I15">
            <v>1756.4</v>
          </cell>
        </row>
        <row r="21">
          <cell r="G21">
            <v>54.839999999999996</v>
          </cell>
          <cell r="I21">
            <v>194.5</v>
          </cell>
        </row>
        <row r="26">
          <cell r="G26">
            <v>77.03</v>
          </cell>
          <cell r="I26">
            <v>4961.7299999999996</v>
          </cell>
        </row>
      </sheetData>
      <sheetData sheetId="1">
        <row r="7">
          <cell r="F7">
            <v>33.119999999999997</v>
          </cell>
          <cell r="G7">
            <v>6.23</v>
          </cell>
          <cell r="H7">
            <v>66.25</v>
          </cell>
          <cell r="I7">
            <v>10.47</v>
          </cell>
          <cell r="J7">
            <v>16.7</v>
          </cell>
        </row>
      </sheetData>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45.88</v>
          </cell>
          <cell r="I7">
            <v>4961.7299999999996</v>
          </cell>
        </row>
        <row r="13">
          <cell r="G13">
            <v>33.46</v>
          </cell>
          <cell r="I13">
            <v>194.5</v>
          </cell>
        </row>
        <row r="17">
          <cell r="G17">
            <v>19.73</v>
          </cell>
          <cell r="I17">
            <v>848.82</v>
          </cell>
        </row>
        <row r="18">
          <cell r="G18">
            <v>39.46</v>
          </cell>
          <cell r="I18">
            <v>447.06</v>
          </cell>
        </row>
      </sheetData>
      <sheetData sheetId="1"/>
      <sheetData sheetId="2"/>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49.56</v>
          </cell>
          <cell r="I7">
            <v>4961.7299999999996</v>
          </cell>
        </row>
        <row r="13">
          <cell r="G13">
            <v>32.53</v>
          </cell>
          <cell r="I13">
            <v>194.5</v>
          </cell>
        </row>
        <row r="17">
          <cell r="G17">
            <v>21.31</v>
          </cell>
          <cell r="I17">
            <v>848.82</v>
          </cell>
        </row>
        <row r="18">
          <cell r="G18">
            <v>42.62</v>
          </cell>
          <cell r="I18">
            <v>447.06</v>
          </cell>
        </row>
      </sheetData>
      <sheetData sheetId="1"/>
      <sheetData sheetId="2"/>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efreshError="1">
        <row r="4">
          <cell r="G4">
            <v>5</v>
          </cell>
        </row>
        <row r="5">
          <cell r="A5" t="str">
            <v>2       5.1.1.</v>
          </cell>
        </row>
        <row r="8">
          <cell r="I8">
            <v>151.82</v>
          </cell>
        </row>
        <row r="9">
          <cell r="A9" t="str">
            <v>3.           M-004</v>
          </cell>
        </row>
        <row r="13">
          <cell r="A13" t="str">
            <v>4.       5.6.8 (C.I.W.)</v>
          </cell>
        </row>
        <row r="16">
          <cell r="I16">
            <v>1756.4</v>
          </cell>
        </row>
        <row r="17">
          <cell r="A17" t="str">
            <v>5.     5.3.1.1</v>
          </cell>
        </row>
        <row r="20">
          <cell r="I20">
            <v>4961.7299999999996</v>
          </cell>
        </row>
        <row r="21">
          <cell r="A21" t="str">
            <v>6               5.3.17.1</v>
          </cell>
        </row>
        <row r="24">
          <cell r="I24">
            <v>194.5</v>
          </cell>
        </row>
        <row r="25">
          <cell r="A25">
            <v>7</v>
          </cell>
        </row>
        <row r="26">
          <cell r="I26">
            <v>848.82</v>
          </cell>
        </row>
        <row r="29">
          <cell r="I29">
            <v>679.66</v>
          </cell>
        </row>
        <row r="30">
          <cell r="I30">
            <v>117.54</v>
          </cell>
        </row>
      </sheetData>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2)"/>
      <sheetName val="DETAILED ESTIMATE"/>
      <sheetName val="MATERIAL STATEMENT"/>
      <sheetName val="BILL OF QUANTITY"/>
      <sheetName val="VINDYAVASINI NAGAR"/>
      <sheetName val="RAJNAGAR"/>
      <sheetName val="KHUSBUTOLI"/>
      <sheetName val="alok dubey"/>
      <sheetName val="dr. umesh panday"/>
      <sheetName val="NIZAMNAGAR ROAD NO 1 2"/>
      <sheetName val="HAZRAT ALI ME RASHID"/>
      <sheetName val="GAUSNAGAR"/>
      <sheetName val="JORAR MUNDA MASNA"/>
      <sheetName val="JORAR PESPI GROUND"/>
      <sheetName val="CLUB HOUSE TO DOLLY"/>
      <sheetName val="dwarikapuri 8 ashok ji"/>
      <sheetName val="MANITOLA ANWAR DUKAN"/>
      <sheetName val="KUMARTOLI CHOUDARY JI DRAIN"/>
      <sheetName val="Sheet1"/>
      <sheetName val="mahadev toli"/>
    </sheetNames>
    <sheetDataSet>
      <sheetData sheetId="0" refreshError="1"/>
      <sheetData sheetId="1">
        <row r="7">
          <cell r="G7">
            <v>132.82356273010478</v>
          </cell>
        </row>
        <row r="11">
          <cell r="G11">
            <v>15.859529878221466</v>
          </cell>
        </row>
        <row r="15">
          <cell r="G15">
            <v>82.601718115736816</v>
          </cell>
        </row>
        <row r="19">
          <cell r="G19">
            <v>65.055762081784394</v>
          </cell>
        </row>
        <row r="24">
          <cell r="G24">
            <v>99.122061738884156</v>
          </cell>
        </row>
      </sheetData>
      <sheetData sheetId="2">
        <row r="8">
          <cell r="F8">
            <v>42.622486547720186</v>
          </cell>
          <cell r="G8">
            <v>15.859529878221466</v>
          </cell>
          <cell r="H8">
            <v>85.244973095440372</v>
          </cell>
          <cell r="I8">
            <v>82.601718115736816</v>
          </cell>
          <cell r="J8">
            <v>132.82356273010478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Khorhatoli bridge"/>
      <sheetName val="BOQ"/>
    </sheetNames>
    <sheetDataSet>
      <sheetData sheetId="0" refreshError="1">
        <row r="3">
          <cell r="A3" t="str">
            <v>Name of Work :- Construction of PCC Road at Kokar,Khorhatoli,Anand Nagar from Khorhatoli Bridge to Pani Tanki under ward no-07</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38.229999999999997</v>
          </cell>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G12">
            <v>5.66</v>
          </cell>
          <cell r="I12">
            <v>347.85</v>
          </cell>
        </row>
        <row r="13">
          <cell r="A13" t="str">
            <v>3 5.6.8WRD</v>
          </cell>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G16">
            <v>14.51</v>
          </cell>
          <cell r="I16">
            <v>1756.4</v>
          </cell>
        </row>
        <row r="17">
          <cell r="A17" t="str">
            <v>4 5.3.1.1</v>
          </cell>
          <cell r="B17" t="str">
            <v>Providing and laying in position cement concrete of specified grade excluding the cost of centering and shuttering - All work up to plinth level1:1.5:3 (1 Cement : 1.5 coarse sand zone(III): 3 graded stone aggregate 20mm nominal size)</v>
          </cell>
        </row>
        <row r="20">
          <cell r="G20">
            <v>80.69</v>
          </cell>
          <cell r="I20">
            <v>4961.7299999999996</v>
          </cell>
        </row>
        <row r="21">
          <cell r="A21" t="str">
            <v>55.3.17.1</v>
          </cell>
          <cell r="B21" t="str">
            <v>Centering and Shuttering including strutting, propping etc and removal of from for   Foundation , footing , bases of columns etc for mass concrete.</v>
          </cell>
        </row>
        <row r="24">
          <cell r="G24">
            <v>48.14</v>
          </cell>
          <cell r="I24">
            <v>194.5</v>
          </cell>
        </row>
        <row r="26">
          <cell r="B26" t="str">
            <v>Sand  (Lead Upto 49 km)</v>
          </cell>
          <cell r="G26">
            <v>34.700000000000003</v>
          </cell>
          <cell r="I26">
            <v>848.82</v>
          </cell>
        </row>
        <row r="27">
          <cell r="B27" t="str">
            <v>Stone Dust (Lead 22 KM)</v>
          </cell>
          <cell r="G27">
            <v>5.66</v>
          </cell>
          <cell r="I27">
            <v>447.06</v>
          </cell>
        </row>
        <row r="28">
          <cell r="B28" t="str">
            <v>Stone Boulder (Lead 36  KM)</v>
          </cell>
          <cell r="G28">
            <v>14.51</v>
          </cell>
          <cell r="I28">
            <v>679.66</v>
          </cell>
        </row>
        <row r="29">
          <cell r="B29" t="str">
            <v>Stone Chips (Lead 22KM)</v>
          </cell>
          <cell r="G29">
            <v>69.39</v>
          </cell>
          <cell r="I29">
            <v>447.06</v>
          </cell>
        </row>
        <row r="30">
          <cell r="B30" t="str">
            <v>Earth (Lead 01 KM)</v>
          </cell>
          <cell r="G30">
            <v>38.229999999999997</v>
          </cell>
          <cell r="I30">
            <v>117.54</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Don bosco PCC"/>
      <sheetName val="BOQ"/>
    </sheetNames>
    <sheetDataSet>
      <sheetData sheetId="0" refreshError="1">
        <row r="3">
          <cell r="A3" t="str">
            <v>Name of Work :- Repairing of PCC Road at Kokar,Khorhatoli,Gali No-01,Near Don Bosco School under ward no-07</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38.74</v>
          </cell>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G12">
            <v>10.88</v>
          </cell>
          <cell r="I12">
            <v>347.85</v>
          </cell>
        </row>
        <row r="13">
          <cell r="A13" t="str">
            <v>3 5.6.8WRD</v>
          </cell>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G16">
            <v>27.87</v>
          </cell>
          <cell r="I16">
            <v>1756.4</v>
          </cell>
        </row>
        <row r="17">
          <cell r="A17" t="str">
            <v>4 5.3.1.1</v>
          </cell>
          <cell r="B17" t="str">
            <v>Providing and laying in position cement concrete of specified grade excluding the cost of centering and shuttering - All work up to plinth level1:1.5:3 (1 Cement : 1.5 coarse sand zone(III): 3 graded stone aggregate 20mm nominal size)</v>
          </cell>
        </row>
        <row r="21">
          <cell r="G21">
            <v>66.16</v>
          </cell>
          <cell r="I21">
            <v>4961.7299999999996</v>
          </cell>
        </row>
        <row r="22">
          <cell r="A22" t="str">
            <v>55.3.17.1</v>
          </cell>
          <cell r="B22" t="str">
            <v>Centering and Shuttering including strutting, propping etc and removal of from for   Foundation , footing , bases of columns etc for mass concrete.</v>
          </cell>
        </row>
        <row r="25">
          <cell r="G25">
            <v>29</v>
          </cell>
          <cell r="I25">
            <v>194.5</v>
          </cell>
        </row>
        <row r="27">
          <cell r="B27" t="str">
            <v>Sand  (Lead Upto 49 km)</v>
          </cell>
          <cell r="G27">
            <v>28.45</v>
          </cell>
          <cell r="I27">
            <v>848.82</v>
          </cell>
        </row>
        <row r="28">
          <cell r="B28" t="str">
            <v>Stone Dust (Lead 22 KM)</v>
          </cell>
          <cell r="G28">
            <v>10.88</v>
          </cell>
          <cell r="I28">
            <v>447.06</v>
          </cell>
        </row>
        <row r="29">
          <cell r="B29" t="str">
            <v>Stone Boulder (Lead 36  KM)</v>
          </cell>
          <cell r="G29">
            <v>27.87</v>
          </cell>
          <cell r="I29">
            <v>679.66</v>
          </cell>
        </row>
        <row r="30">
          <cell r="B30" t="str">
            <v>Stone Chips (Lead 22KM)</v>
          </cell>
          <cell r="G30">
            <v>56.9</v>
          </cell>
          <cell r="I30">
            <v>447.06</v>
          </cell>
        </row>
        <row r="31">
          <cell r="B31" t="str">
            <v>Earth (Lead 01 KM)</v>
          </cell>
          <cell r="G31">
            <v>38.74</v>
          </cell>
          <cell r="I31">
            <v>117.54</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rain"/>
      <sheetName val="Drain Mat"/>
      <sheetName val="Hotwar Mandir Drain"/>
      <sheetName val="Sheet3"/>
    </sheetNames>
    <sheetDataSet>
      <sheetData sheetId="0" refreshError="1">
        <row r="3">
          <cell r="A3" t="str">
            <v>Name of Work :-Construction of RCC Drain at Hotwar,Lohra Toli from Water Tank to Nayak Toli Temple under ward no-07</v>
          </cell>
        </row>
        <row r="5">
          <cell r="A5" t="str">
            <v>1            5.10.1</v>
          </cell>
          <cell r="B5" t="str">
            <v xml:space="preserve">Dismantling plain cement or lime concrete work including stacking serviceable materials in countable stacks within 15M.lead and disposal of unserviceable materials with all leads complete  as per direction of E/I.              </v>
          </cell>
        </row>
        <row r="8">
          <cell r="G8">
            <v>1.42</v>
          </cell>
          <cell r="I8">
            <v>541.66999999999996</v>
          </cell>
        </row>
        <row r="9">
          <cell r="A9" t="str">
            <v>2            5.1.1</v>
          </cell>
          <cell r="B9"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12">
          <cell r="G12">
            <v>82.97</v>
          </cell>
          <cell r="I12">
            <v>151.82</v>
          </cell>
        </row>
        <row r="13">
          <cell r="A13" t="str">
            <v>34/M004</v>
          </cell>
        </row>
        <row r="16">
          <cell r="G16">
            <v>5.17</v>
          </cell>
        </row>
        <row r="17">
          <cell r="A17" t="str">
            <v>45.6.8</v>
          </cell>
        </row>
        <row r="20">
          <cell r="G20">
            <v>13.24</v>
          </cell>
        </row>
        <row r="21">
          <cell r="A21" t="str">
            <v>55.3.10</v>
          </cell>
        </row>
        <row r="25">
          <cell r="G25">
            <v>34.869999999999997</v>
          </cell>
          <cell r="I25">
            <v>6082.45</v>
          </cell>
        </row>
        <row r="26">
          <cell r="A26" t="str">
            <v>6 5.3.11</v>
          </cell>
          <cell r="B26" t="str">
            <v>Renforced cement conrete work in beams, suspended floors, having slopeup to 15' landing, balconies, shelves, chajjas, lintels, bands, plain windowsill ---------do----do-------E/I1:1.5:3 (1 Cement : 1.5 coarse sand zone(III): 3 graded stone aggregate 20mm nominal size)</v>
          </cell>
        </row>
        <row r="29">
          <cell r="G29">
            <v>16.14</v>
          </cell>
          <cell r="I29">
            <v>6308.87</v>
          </cell>
        </row>
        <row r="30">
          <cell r="A30">
            <v>7</v>
          </cell>
          <cell r="B30"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35">
          <cell r="A35" t="str">
            <v>(A)5.5.4</v>
          </cell>
          <cell r="B35" t="str">
            <v>08mm dia 40%</v>
          </cell>
          <cell r="G35">
            <v>1.621</v>
          </cell>
          <cell r="H35" t="str">
            <v>M.T.</v>
          </cell>
          <cell r="I35">
            <v>83314.02</v>
          </cell>
        </row>
        <row r="36">
          <cell r="A36" t="str">
            <v>(B)5.5.5(a)</v>
          </cell>
          <cell r="B36" t="str">
            <v>10mm dia 60%</v>
          </cell>
          <cell r="G36">
            <v>2.4319999999999999</v>
          </cell>
          <cell r="I36">
            <v>82096.539999999994</v>
          </cell>
        </row>
        <row r="38">
          <cell r="A38" t="str">
            <v>85.3.17.1</v>
          </cell>
          <cell r="B38" t="str">
            <v>Centering and Shuttering including strutting, propping etc and removal of from for   Foundation , footing , bases of columns etc for mass concrete.</v>
          </cell>
        </row>
        <row r="42">
          <cell r="G42">
            <v>370.82</v>
          </cell>
          <cell r="H42" t="str">
            <v>m2</v>
          </cell>
          <cell r="I42">
            <v>194.5</v>
          </cell>
        </row>
        <row r="44">
          <cell r="G44">
            <v>21.93</v>
          </cell>
        </row>
        <row r="45">
          <cell r="B45" t="str">
            <v>Stone Dust (Lead 22 KM)</v>
          </cell>
          <cell r="G45">
            <v>5.17</v>
          </cell>
        </row>
        <row r="46">
          <cell r="G46">
            <v>13.24</v>
          </cell>
        </row>
        <row r="47">
          <cell r="G47">
            <v>43.87</v>
          </cell>
        </row>
        <row r="48">
          <cell r="G48">
            <v>82.97</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Mahuatoli Asharfi devi"/>
      <sheetName val="BOQ"/>
    </sheetNames>
    <sheetDataSet>
      <sheetData sheetId="0" refreshError="1">
        <row r="3">
          <cell r="A3" t="str">
            <v>Name of Work :- Construction of PCC Road at Mahuatoli from house of Asharfi Devi to house of Nirmala Kerketa under ward no-07</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61.6</v>
          </cell>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G12">
            <v>17.29</v>
          </cell>
          <cell r="I12">
            <v>347.85</v>
          </cell>
        </row>
        <row r="13">
          <cell r="A13" t="str">
            <v>3 5.6.8WRD</v>
          </cell>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G16">
            <v>44.31</v>
          </cell>
          <cell r="I16">
            <v>1756.4</v>
          </cell>
        </row>
        <row r="17">
          <cell r="A17" t="str">
            <v>4 5.3.1.1</v>
          </cell>
          <cell r="B17" t="str">
            <v>Providing and laying in position cement concrete of specified grade excluding the cost of centering and shuttering - All work up to plinth level1:1.5:3 (1 Cement : 1.5 coarse sand zone(III): 3 graded stone aggregate 20mm nominal size)</v>
          </cell>
        </row>
        <row r="20">
          <cell r="G20">
            <v>54.04</v>
          </cell>
          <cell r="I20">
            <v>4961.7299999999996</v>
          </cell>
        </row>
        <row r="21">
          <cell r="A21" t="str">
            <v>55.3.17.1</v>
          </cell>
          <cell r="B21" t="str">
            <v>Centering and Shuttering including strutting, propping etc and removal of from for   Foundation , footing , bases of columns etc for mass concrete.</v>
          </cell>
        </row>
        <row r="24">
          <cell r="G24">
            <v>29.55</v>
          </cell>
          <cell r="I24">
            <v>194.5</v>
          </cell>
        </row>
        <row r="26">
          <cell r="G26">
            <v>23.24</v>
          </cell>
          <cell r="I26">
            <v>848.82</v>
          </cell>
        </row>
        <row r="27">
          <cell r="B27" t="str">
            <v>Stone Dust (Lead 22 KM)</v>
          </cell>
          <cell r="G27">
            <v>17.29</v>
          </cell>
          <cell r="I27">
            <v>447.06</v>
          </cell>
        </row>
        <row r="28">
          <cell r="G28">
            <v>44.31</v>
          </cell>
          <cell r="I28">
            <v>679.66</v>
          </cell>
        </row>
        <row r="29">
          <cell r="G29">
            <v>46.47</v>
          </cell>
          <cell r="I29">
            <v>447.06</v>
          </cell>
        </row>
        <row r="30">
          <cell r="G30">
            <v>61.6</v>
          </cell>
          <cell r="I30">
            <v>117.54</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ESTIMATE"/>
      <sheetName val="BOQ"/>
      <sheetName val="Sheet1"/>
      <sheetName val="MATERIAL "/>
    </sheetNames>
    <sheetDataSet>
      <sheetData sheetId="0">
        <row r="4">
          <cell r="A4" t="str">
            <v xml:space="preserve">    1         5.10.2</v>
          </cell>
          <cell r="B4" t="str">
            <v>Dismantling plain cement or lime concrete work including ………do…….complete as per specification and  direction of E/I.</v>
          </cell>
        </row>
        <row r="6">
          <cell r="I6">
            <v>955.89</v>
          </cell>
        </row>
        <row r="7">
          <cell r="A7" t="str">
            <v>2       5.1.1.</v>
          </cell>
        </row>
        <row r="11">
          <cell r="I11">
            <v>151.82</v>
          </cell>
        </row>
        <row r="12">
          <cell r="A12" t="str">
            <v>3
4/M004</v>
          </cell>
        </row>
        <row r="16">
          <cell r="I16">
            <v>347.85</v>
          </cell>
        </row>
        <row r="17">
          <cell r="A17" t="str">
            <v>4.       5.6.8</v>
          </cell>
        </row>
        <row r="21">
          <cell r="I21">
            <v>1756.4</v>
          </cell>
        </row>
        <row r="22">
          <cell r="A22" t="str">
            <v>5.                                    5.3.10</v>
          </cell>
          <cell r="B22" t="str">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ell>
        </row>
        <row r="28">
          <cell r="I28">
            <v>6082.45</v>
          </cell>
        </row>
        <row r="29">
          <cell r="A29" t="str">
            <v>6                  5.3.11</v>
          </cell>
          <cell r="B29" t="str">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ell>
        </row>
        <row r="33">
          <cell r="I33">
            <v>6308.87</v>
          </cell>
        </row>
        <row r="34">
          <cell r="A34">
            <v>7</v>
          </cell>
          <cell r="B34" t="str">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ell>
        </row>
        <row r="37">
          <cell r="H37" t="str">
            <v>MT</v>
          </cell>
          <cell r="I37">
            <v>83314.02</v>
          </cell>
        </row>
        <row r="38">
          <cell r="A38" t="str">
            <v>5.5.5 (a)</v>
          </cell>
        </row>
        <row r="40">
          <cell r="I40">
            <v>82096.539999999994</v>
          </cell>
        </row>
        <row r="41">
          <cell r="A41" t="str">
            <v>8                 5.3.17.1</v>
          </cell>
          <cell r="B41" t="str">
            <v>Centering and shuttering including strutting, propping etc. and removal of from for Foundations,footings, bases of columns, etc. for mass concrete.</v>
          </cell>
        </row>
        <row r="47">
          <cell r="I47">
            <v>194.5</v>
          </cell>
        </row>
        <row r="48">
          <cell r="A48">
            <v>9</v>
          </cell>
        </row>
        <row r="49">
          <cell r="I49">
            <v>744.66</v>
          </cell>
        </row>
        <row r="50">
          <cell r="I50">
            <v>342.9</v>
          </cell>
        </row>
        <row r="51">
          <cell r="I51">
            <v>342.9</v>
          </cell>
        </row>
        <row r="52">
          <cell r="I52">
            <v>570.94000000000005</v>
          </cell>
        </row>
        <row r="53">
          <cell r="I53">
            <v>117.54</v>
          </cell>
        </row>
      </sheetData>
      <sheetData sheetId="1"/>
      <sheetData sheetId="2"/>
      <sheetData sheetId="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ESTIMATE"/>
      <sheetName val="MATERIAL"/>
      <sheetName val="Sheet1"/>
    </sheetNames>
    <sheetDataSet>
      <sheetData sheetId="0" refreshError="1"/>
      <sheetData sheetId="1" refreshError="1">
        <row r="4">
          <cell r="F4">
            <v>49.32</v>
          </cell>
          <cell r="H4">
            <v>98.64</v>
          </cell>
        </row>
      </sheetData>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KADRU, SARNA TOLI AT AMIT HOUSE TO B.P. JAISAWAL HOUSE UNDER WARD NO-24</v>
          </cell>
        </row>
        <row r="4">
          <cell r="A4">
            <v>1</v>
          </cell>
          <cell r="B4" t="str">
            <v>Labour for site clearence before and after the work etc.</v>
          </cell>
          <cell r="G4">
            <v>4</v>
          </cell>
          <cell r="I4">
            <v>326.85000000000002</v>
          </cell>
        </row>
        <row r="5">
          <cell r="A5" t="str">
            <v>2       5.1.1.</v>
          </cell>
        </row>
        <row r="8">
          <cell r="G8">
            <v>26.56</v>
          </cell>
          <cell r="I8">
            <v>151.82</v>
          </cell>
        </row>
        <row r="9">
          <cell r="A9" t="str">
            <v>3.           M-004</v>
          </cell>
        </row>
        <row r="12">
          <cell r="G12">
            <v>9.91</v>
          </cell>
          <cell r="I12">
            <v>481.67</v>
          </cell>
        </row>
        <row r="13">
          <cell r="A13" t="str">
            <v>4.       5.6.8 (C.I.W.)</v>
          </cell>
        </row>
        <row r="16">
          <cell r="G16">
            <v>16.649999999999999</v>
          </cell>
          <cell r="I16">
            <v>1756.4</v>
          </cell>
        </row>
        <row r="17">
          <cell r="A17" t="str">
            <v>5.     5.3.1.1</v>
          </cell>
          <cell r="B17" t="str">
            <v xml:space="preserve">Providing and laying in position cement concrete of specified grade excluding the cost of centering and shuttering- All work upto plinth level : 1:1½:3 (1 cemet : 1½ coarse sand (zone-iii) : 3 graded stone aggregate 20mm nominal size )  </v>
          </cell>
        </row>
        <row r="20">
          <cell r="G20">
            <v>19.82</v>
          </cell>
          <cell r="I20">
            <v>4961.7299999999996</v>
          </cell>
        </row>
        <row r="21">
          <cell r="A21" t="str">
            <v>6                 5.3.17.1</v>
          </cell>
          <cell r="B21" t="str">
            <v>Centering and shuttering including strutting, propping etc. and removal of from for Foundations,footings, bases of columns, etc. for mass concrete.</v>
          </cell>
        </row>
        <row r="24">
          <cell r="G24">
            <v>18.59</v>
          </cell>
          <cell r="I24">
            <v>194.5</v>
          </cell>
        </row>
        <row r="25">
          <cell r="A25">
            <v>7</v>
          </cell>
        </row>
        <row r="26">
          <cell r="I26">
            <v>848.82</v>
          </cell>
        </row>
        <row r="27">
          <cell r="I27">
            <v>447.06</v>
          </cell>
        </row>
        <row r="28">
          <cell r="I28">
            <v>447.06</v>
          </cell>
        </row>
        <row r="29">
          <cell r="I29">
            <v>679.66</v>
          </cell>
        </row>
        <row r="30">
          <cell r="I30">
            <v>117.54</v>
          </cell>
        </row>
      </sheetData>
      <sheetData sheetId="1"/>
      <sheetData sheetId="2">
        <row r="7">
          <cell r="F7">
            <v>8.52</v>
          </cell>
          <cell r="G7">
            <v>9.91</v>
          </cell>
          <cell r="H7">
            <v>17.05</v>
          </cell>
          <cell r="I7">
            <v>16.649999999999999</v>
          </cell>
          <cell r="J7">
            <v>26.56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21"/>
  <sheetViews>
    <sheetView tabSelected="1" topLeftCell="A13" workbookViewId="0">
      <selection activeCell="F21" sqref="F21"/>
    </sheetView>
  </sheetViews>
  <sheetFormatPr defaultColWidth="9.140625" defaultRowHeight="15"/>
  <cols>
    <col min="1" max="1" width="9.28515625" style="88" bestFit="1" customWidth="1"/>
    <col min="2" max="2" width="42.28515625" style="89" customWidth="1"/>
    <col min="3" max="3" width="9.140625" style="75" customWidth="1"/>
    <col min="4" max="4" width="9.140625" style="90"/>
    <col min="5" max="5" width="11.28515625" style="91" bestFit="1" customWidth="1"/>
    <col min="6" max="6" width="16.42578125" style="91" customWidth="1"/>
    <col min="7" max="16384" width="9.140625" style="75"/>
  </cols>
  <sheetData>
    <row r="1" spans="1:6" ht="60.75" customHeight="1">
      <c r="A1" s="305" t="s">
        <v>0</v>
      </c>
      <c r="B1" s="305"/>
      <c r="C1" s="305"/>
      <c r="D1" s="305"/>
      <c r="E1" s="305"/>
      <c r="F1" s="305"/>
    </row>
    <row r="2" spans="1:6" ht="18.75">
      <c r="A2" s="306" t="s">
        <v>38</v>
      </c>
      <c r="B2" s="306"/>
      <c r="C2" s="306"/>
      <c r="D2" s="306"/>
      <c r="E2" s="306"/>
      <c r="F2" s="306"/>
    </row>
    <row r="3" spans="1:6" ht="55.5" customHeight="1">
      <c r="A3" s="307" t="s">
        <v>56</v>
      </c>
      <c r="B3" s="308"/>
      <c r="C3" s="308"/>
      <c r="D3" s="308"/>
      <c r="E3" s="308"/>
      <c r="F3" s="309"/>
    </row>
    <row r="4" spans="1:6">
      <c r="A4" s="76" t="s">
        <v>39</v>
      </c>
      <c r="B4" s="76" t="s">
        <v>40</v>
      </c>
      <c r="C4" s="76" t="s">
        <v>41</v>
      </c>
      <c r="D4" s="76" t="s">
        <v>5</v>
      </c>
      <c r="E4" s="77" t="s">
        <v>42</v>
      </c>
      <c r="F4" s="77" t="s">
        <v>43</v>
      </c>
    </row>
    <row r="5" spans="1:6" ht="120">
      <c r="A5" s="78" t="str">
        <f>[1]Sheet1!A5</f>
        <v>1.            5.1.1</v>
      </c>
      <c r="B5" s="79" t="str">
        <f>[1]Sheet1!B5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80">
        <v>75.55</v>
      </c>
      <c r="D5" s="81" t="str">
        <f>D6</f>
        <v>M3</v>
      </c>
      <c r="E5" s="82">
        <f>[1]Sheet1!I8</f>
        <v>151.82</v>
      </c>
      <c r="F5" s="82">
        <f>C5*E5</f>
        <v>11470.000999999998</v>
      </c>
    </row>
    <row r="6" spans="1:6" ht="120">
      <c r="A6" s="78" t="str">
        <f>[1]Sheet1!A9</f>
        <v>2  4/M004</v>
      </c>
      <c r="B6" s="79" t="str">
        <f>[1]Sheet1!B9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80">
        <v>22.53</v>
      </c>
      <c r="D6" s="81" t="s">
        <v>44</v>
      </c>
      <c r="E6" s="82">
        <f>[1]Sheet1!I12</f>
        <v>347.85</v>
      </c>
      <c r="F6" s="82">
        <f t="shared" ref="F6:F15" si="0">C6*E6</f>
        <v>7837.0605000000005</v>
      </c>
    </row>
    <row r="7" spans="1:6" ht="90">
      <c r="A7" s="78" t="str">
        <f>[1]Sheet1!A13</f>
        <v>3 5.6.8WRD</v>
      </c>
      <c r="B7" s="79" t="str">
        <f>[1]Sheet1!B13</f>
        <v>Supplying and laying (properly as per design and drawing) rip-rap with good  quality of boulders duly packed including the cost of materials, royalty all taxes etc. but excluding the cost of carriage all complete as per specification and direction of E/I.</v>
      </c>
      <c r="C7" s="80">
        <v>54.34</v>
      </c>
      <c r="D7" s="81" t="s">
        <v>44</v>
      </c>
      <c r="E7" s="82">
        <f>[1]Sheet1!I16</f>
        <v>1756.4</v>
      </c>
      <c r="F7" s="82">
        <f t="shared" si="0"/>
        <v>95442.776000000013</v>
      </c>
    </row>
    <row r="8" spans="1:6" ht="90">
      <c r="A8" s="78" t="str">
        <f>[1]Sheet1!A17</f>
        <v>4 5.3.1.1</v>
      </c>
      <c r="B8" s="79" t="str">
        <f>[1]Sheet1!B17</f>
        <v>Providing and laying in position cement concrete of specified grade excluding the cost of centering and shuttering - All work up to plinth level1:1.5:3 (1 Cement : 1.5 coarse sand zone(III): 3 graded stone aggregate 20mm nominal size)</v>
      </c>
      <c r="C8" s="80">
        <v>66.27</v>
      </c>
      <c r="D8" s="81" t="s">
        <v>44</v>
      </c>
      <c r="E8" s="82">
        <f>[1]Sheet1!I20</f>
        <v>4961.7299999999996</v>
      </c>
      <c r="F8" s="82">
        <f t="shared" si="0"/>
        <v>328813.84709999996</v>
      </c>
    </row>
    <row r="9" spans="1:6" ht="60">
      <c r="A9" s="78" t="str">
        <f>[1]Sheet1!A21</f>
        <v>55.3.17.1</v>
      </c>
      <c r="B9" s="79" t="str">
        <f>[1]Sheet1!B21</f>
        <v>Centering and Shuttering including strutting, propping etc and removal of from for   Foundation , footing , bases of columns etc for mass concrete.</v>
      </c>
      <c r="C9" s="80">
        <v>36.25</v>
      </c>
      <c r="D9" s="81" t="s">
        <v>45</v>
      </c>
      <c r="E9" s="82">
        <f>[1]Sheet1!I24</f>
        <v>194.5</v>
      </c>
      <c r="F9" s="82">
        <f t="shared" si="0"/>
        <v>7050.625</v>
      </c>
    </row>
    <row r="10" spans="1:6">
      <c r="A10" s="83">
        <v>6</v>
      </c>
      <c r="B10" s="84" t="s">
        <v>46</v>
      </c>
      <c r="C10" s="85"/>
      <c r="D10" s="81"/>
      <c r="E10" s="82"/>
      <c r="F10" s="82"/>
    </row>
    <row r="11" spans="1:6">
      <c r="A11" s="86" t="s">
        <v>14</v>
      </c>
      <c r="B11" s="87" t="s">
        <v>47</v>
      </c>
      <c r="C11" s="80">
        <v>28.5</v>
      </c>
      <c r="D11" s="81" t="s">
        <v>44</v>
      </c>
      <c r="E11" s="82">
        <v>848.82</v>
      </c>
      <c r="F11" s="82">
        <f t="shared" si="0"/>
        <v>24191.370000000003</v>
      </c>
    </row>
    <row r="12" spans="1:6">
      <c r="A12" s="86" t="s">
        <v>16</v>
      </c>
      <c r="B12" s="87" t="s">
        <v>48</v>
      </c>
      <c r="C12" s="79">
        <v>22.53</v>
      </c>
      <c r="D12" s="81" t="s">
        <v>44</v>
      </c>
      <c r="E12" s="82">
        <v>447.06</v>
      </c>
      <c r="F12" s="82">
        <f t="shared" si="0"/>
        <v>10072.2618</v>
      </c>
    </row>
    <row r="13" spans="1:6">
      <c r="A13" s="86" t="s">
        <v>18</v>
      </c>
      <c r="B13" s="87" t="s">
        <v>49</v>
      </c>
      <c r="C13" s="80">
        <v>54.34</v>
      </c>
      <c r="D13" s="81" t="s">
        <v>44</v>
      </c>
      <c r="E13" s="82">
        <v>679.66</v>
      </c>
      <c r="F13" s="82">
        <f t="shared" si="0"/>
        <v>36932.724399999999</v>
      </c>
    </row>
    <row r="14" spans="1:6">
      <c r="A14" s="86" t="s">
        <v>20</v>
      </c>
      <c r="B14" s="87" t="s">
        <v>50</v>
      </c>
      <c r="C14" s="80">
        <v>56.99</v>
      </c>
      <c r="D14" s="81" t="s">
        <v>44</v>
      </c>
      <c r="E14" s="82">
        <v>447.06</v>
      </c>
      <c r="F14" s="82">
        <f t="shared" si="0"/>
        <v>25477.949400000001</v>
      </c>
    </row>
    <row r="15" spans="1:6">
      <c r="A15" s="86" t="s">
        <v>22</v>
      </c>
      <c r="B15" s="87" t="s">
        <v>51</v>
      </c>
      <c r="C15" s="79">
        <v>75.55</v>
      </c>
      <c r="D15" s="81" t="s">
        <v>44</v>
      </c>
      <c r="E15" s="82">
        <v>117.54</v>
      </c>
      <c r="F15" s="82">
        <f t="shared" si="0"/>
        <v>8880.1470000000008</v>
      </c>
    </row>
    <row r="16" spans="1:6" ht="18.75">
      <c r="A16" s="83"/>
      <c r="B16" s="84"/>
      <c r="C16" s="85"/>
      <c r="D16" s="81"/>
      <c r="E16" s="82" t="s">
        <v>52</v>
      </c>
      <c r="F16" s="44">
        <f>SUM(F5:F15)</f>
        <v>556168.7622</v>
      </c>
    </row>
    <row r="17" spans="1:6" ht="18.75">
      <c r="A17" s="304" t="s">
        <v>53</v>
      </c>
      <c r="B17" s="304"/>
      <c r="C17" s="304"/>
      <c r="D17" s="304"/>
      <c r="E17" s="304"/>
      <c r="F17" s="44">
        <f>ROUND((F16*18%),2)</f>
        <v>100110.38</v>
      </c>
    </row>
    <row r="18" spans="1:6" ht="18.75">
      <c r="A18" s="304" t="s">
        <v>24</v>
      </c>
      <c r="B18" s="304" t="s">
        <v>24</v>
      </c>
      <c r="C18" s="304"/>
      <c r="D18" s="304"/>
      <c r="E18" s="304"/>
      <c r="F18" s="44">
        <f>F16+F17</f>
        <v>656279.1422</v>
      </c>
    </row>
    <row r="19" spans="1:6" ht="18.75">
      <c r="A19" s="304" t="s">
        <v>54</v>
      </c>
      <c r="B19" s="304" t="s">
        <v>55</v>
      </c>
      <c r="C19" s="304"/>
      <c r="D19" s="304"/>
      <c r="E19" s="304"/>
      <c r="F19" s="44">
        <f>ROUND((F18*1%),2)</f>
        <v>6562.79</v>
      </c>
    </row>
    <row r="20" spans="1:6" ht="18.75">
      <c r="A20" s="304" t="s">
        <v>24</v>
      </c>
      <c r="B20" s="304" t="s">
        <v>24</v>
      </c>
      <c r="C20" s="304"/>
      <c r="D20" s="304"/>
      <c r="E20" s="304"/>
      <c r="F20" s="44">
        <f>F18+F19</f>
        <v>662841.93220000004</v>
      </c>
    </row>
    <row r="21" spans="1:6" ht="18.75">
      <c r="A21" s="304" t="s">
        <v>27</v>
      </c>
      <c r="B21" s="304" t="s">
        <v>27</v>
      </c>
      <c r="C21" s="304"/>
      <c r="D21" s="304"/>
      <c r="E21" s="304"/>
      <c r="F21" s="44">
        <f>ROUND((F20),0)</f>
        <v>662842</v>
      </c>
    </row>
  </sheetData>
  <mergeCells count="8">
    <mergeCell ref="A20:E20"/>
    <mergeCell ref="A21:E21"/>
    <mergeCell ref="A1:F1"/>
    <mergeCell ref="A2:F2"/>
    <mergeCell ref="A3:F3"/>
    <mergeCell ref="A17:E17"/>
    <mergeCell ref="A18:E18"/>
    <mergeCell ref="A19:E1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F29"/>
  <sheetViews>
    <sheetView workbookViewId="0">
      <selection activeCell="A3" sqref="A3:F3"/>
    </sheetView>
  </sheetViews>
  <sheetFormatPr defaultRowHeight="15"/>
  <cols>
    <col min="1" max="1" width="8.85546875" bestFit="1" customWidth="1"/>
    <col min="2" max="2" width="51.42578125" customWidth="1"/>
    <col min="3" max="3" width="8.85546875" bestFit="1" customWidth="1"/>
    <col min="5" max="5" width="10.42578125" bestFit="1" customWidth="1"/>
    <col min="6" max="6" width="17.28515625" style="29" bestFit="1" customWidth="1"/>
  </cols>
  <sheetData>
    <row r="1" spans="1:6" ht="26.25">
      <c r="A1" s="336" t="s">
        <v>0</v>
      </c>
      <c r="B1" s="337"/>
      <c r="C1" s="337"/>
      <c r="D1" s="337"/>
      <c r="E1" s="337"/>
      <c r="F1" s="338"/>
    </row>
    <row r="2" spans="1:6" ht="18" customHeight="1">
      <c r="A2" s="339" t="s">
        <v>1</v>
      </c>
      <c r="B2" s="340"/>
      <c r="C2" s="340"/>
      <c r="D2" s="340"/>
      <c r="E2" s="340"/>
      <c r="F2" s="341"/>
    </row>
    <row r="3" spans="1:6" ht="27" customHeight="1">
      <c r="A3" s="342" t="str">
        <f>[9]ESTIMATE!A2</f>
        <v>Name of Work :-CONSTRUCTION OF PCC ROAD KADRU, SARNA TOLI AT AMIT HOUSE TO B.P. JAISAWAL HOUSE UNDER WARD NO-24</v>
      </c>
      <c r="B3" s="343"/>
      <c r="C3" s="343"/>
      <c r="D3" s="343"/>
      <c r="E3" s="343"/>
      <c r="F3" s="344"/>
    </row>
    <row r="4" spans="1:6" ht="30">
      <c r="A4" s="1" t="s">
        <v>2</v>
      </c>
      <c r="B4" s="2" t="s">
        <v>3</v>
      </c>
      <c r="C4" s="2" t="s">
        <v>4</v>
      </c>
      <c r="D4" s="2" t="s">
        <v>5</v>
      </c>
      <c r="E4" s="1" t="s">
        <v>6</v>
      </c>
      <c r="F4" s="3" t="s">
        <v>7</v>
      </c>
    </row>
    <row r="5" spans="1:6" ht="22.5" customHeight="1">
      <c r="A5" s="1">
        <f>[9]ESTIMATE!A4</f>
        <v>1</v>
      </c>
      <c r="B5" s="4" t="str">
        <f>[9]ESTIMATE!B4</f>
        <v>Labour for site clearence before and after the work etc.</v>
      </c>
      <c r="C5" s="5">
        <f>[9]ESTIMATE!G4</f>
        <v>4</v>
      </c>
      <c r="D5" s="6" t="s">
        <v>8</v>
      </c>
      <c r="E5" s="5">
        <f>[9]ESTIMATE!I4</f>
        <v>326.85000000000002</v>
      </c>
      <c r="F5" s="7">
        <f t="shared" ref="F5:F10" si="0">ROUND(C5*E5,2)</f>
        <v>1307.4000000000001</v>
      </c>
    </row>
    <row r="6" spans="1:6" ht="99.75">
      <c r="A6" s="1" t="str">
        <f>[9]ESTIMATE!A5</f>
        <v>2       5.1.1.</v>
      </c>
      <c r="B6" s="8" t="s">
        <v>9</v>
      </c>
      <c r="C6" s="5">
        <f>[9]ESTIMATE!G8</f>
        <v>26.56</v>
      </c>
      <c r="D6" s="6" t="s">
        <v>8</v>
      </c>
      <c r="E6" s="5">
        <f>[9]ESTIMATE!I8</f>
        <v>151.82</v>
      </c>
      <c r="F6" s="7">
        <f t="shared" si="0"/>
        <v>4032.34</v>
      </c>
    </row>
    <row r="7" spans="1:6" ht="99.75">
      <c r="A7" s="1" t="str">
        <f>[9]ESTIMATE!A9</f>
        <v>3.           M-004</v>
      </c>
      <c r="B7" s="8" t="s">
        <v>10</v>
      </c>
      <c r="C7" s="5">
        <f>[9]ESTIMATE!G12</f>
        <v>9.91</v>
      </c>
      <c r="D7" s="6" t="s">
        <v>8</v>
      </c>
      <c r="E7" s="5">
        <f>[9]ESTIMATE!I12</f>
        <v>481.67</v>
      </c>
      <c r="F7" s="7">
        <f t="shared" si="0"/>
        <v>4773.3500000000004</v>
      </c>
    </row>
    <row r="8" spans="1:6" ht="71.25">
      <c r="A8" s="1" t="str">
        <f>[9]ESTIMATE!A13</f>
        <v>4.       5.6.8 (C.I.W.)</v>
      </c>
      <c r="B8" s="8" t="s">
        <v>11</v>
      </c>
      <c r="C8" s="5">
        <f>[9]ESTIMATE!G16</f>
        <v>16.649999999999999</v>
      </c>
      <c r="D8" s="6" t="s">
        <v>8</v>
      </c>
      <c r="E8" s="5">
        <f>[9]ESTIMATE!I16</f>
        <v>1756.4</v>
      </c>
      <c r="F8" s="7">
        <f t="shared" si="0"/>
        <v>29244.06</v>
      </c>
    </row>
    <row r="9" spans="1:6" ht="71.25">
      <c r="A9" s="1" t="str">
        <f>[9]ESTIMATE!A17</f>
        <v>5.     5.3.1.1</v>
      </c>
      <c r="B9" s="8" t="str">
        <f>[9]ESTIMATE!B17</f>
        <v xml:space="preserve">Providing and laying in position cement concrete of specified grade excluding the cost of centering and shuttering- All work upto plinth level : 1:1½:3 (1 cemet : 1½ coarse sand (zone-iii) : 3 graded stone aggregate 20mm nominal size )  </v>
      </c>
      <c r="C9" s="5">
        <f>[9]ESTIMATE!G20</f>
        <v>19.82</v>
      </c>
      <c r="D9" s="6" t="s">
        <v>8</v>
      </c>
      <c r="E9" s="5">
        <f>[9]ESTIMATE!I20</f>
        <v>4961.7299999999996</v>
      </c>
      <c r="F9" s="7">
        <f t="shared" si="0"/>
        <v>98341.49</v>
      </c>
    </row>
    <row r="10" spans="1:6" ht="42.75">
      <c r="A10" s="1" t="str">
        <f>[9]ESTIMATE!A21</f>
        <v>6                 5.3.17.1</v>
      </c>
      <c r="B10" s="8" t="str">
        <f>[9]ESTIMATE!B21</f>
        <v>Centering and shuttering including strutting, propping etc. and removal of from for Foundations,footings, bases of columns, etc. for mass concrete.</v>
      </c>
      <c r="C10" s="5">
        <f>[9]ESTIMATE!G24</f>
        <v>18.59</v>
      </c>
      <c r="D10" s="9" t="s">
        <v>12</v>
      </c>
      <c r="E10" s="1">
        <f>[9]ESTIMATE!I24</f>
        <v>194.5</v>
      </c>
      <c r="F10" s="3">
        <f t="shared" si="0"/>
        <v>3615.76</v>
      </c>
    </row>
    <row r="11" spans="1:6">
      <c r="A11" s="1">
        <f>[9]ESTIMATE!A25</f>
        <v>7</v>
      </c>
      <c r="B11" s="10" t="s">
        <v>13</v>
      </c>
      <c r="C11" s="6"/>
      <c r="D11" s="11"/>
      <c r="E11" s="12"/>
      <c r="F11" s="7"/>
    </row>
    <row r="12" spans="1:6">
      <c r="A12" s="13" t="s">
        <v>14</v>
      </c>
      <c r="B12" s="14" t="s">
        <v>15</v>
      </c>
      <c r="C12" s="5">
        <f>PRODUCT('[9]MATERIAL '!F7)</f>
        <v>8.52</v>
      </c>
      <c r="D12" s="11" t="s">
        <v>8</v>
      </c>
      <c r="E12" s="1">
        <f>[9]ESTIMATE!I26</f>
        <v>848.82</v>
      </c>
      <c r="F12" s="7">
        <f t="shared" ref="F12:F16" si="1">ROUND(C12*E12,2)</f>
        <v>7231.95</v>
      </c>
    </row>
    <row r="13" spans="1:6">
      <c r="A13" s="13" t="s">
        <v>16</v>
      </c>
      <c r="B13" s="15" t="s">
        <v>17</v>
      </c>
      <c r="C13" s="5">
        <f>PRODUCT('[9]MATERIAL '!G7)</f>
        <v>9.91</v>
      </c>
      <c r="D13" s="11" t="s">
        <v>8</v>
      </c>
      <c r="E13" s="16">
        <f>[9]ESTIMATE!I27</f>
        <v>447.06</v>
      </c>
      <c r="F13" s="7">
        <f t="shared" si="1"/>
        <v>4430.3599999999997</v>
      </c>
    </row>
    <row r="14" spans="1:6">
      <c r="A14" s="13" t="s">
        <v>18</v>
      </c>
      <c r="B14" s="15" t="s">
        <v>19</v>
      </c>
      <c r="C14" s="5">
        <f>PRODUCT('[9]MATERIAL '!H7)</f>
        <v>17.05</v>
      </c>
      <c r="D14" s="11" t="s">
        <v>8</v>
      </c>
      <c r="E14" s="16">
        <f>[9]ESTIMATE!I28</f>
        <v>447.06</v>
      </c>
      <c r="F14" s="7">
        <f t="shared" si="1"/>
        <v>7622.37</v>
      </c>
    </row>
    <row r="15" spans="1:6">
      <c r="A15" s="13" t="s">
        <v>20</v>
      </c>
      <c r="B15" s="15" t="s">
        <v>21</v>
      </c>
      <c r="C15" s="5">
        <f>PRODUCT('[9]MATERIAL '!I7)</f>
        <v>16.649999999999999</v>
      </c>
      <c r="D15" s="11" t="s">
        <v>8</v>
      </c>
      <c r="E15" s="1">
        <f>[9]ESTIMATE!I29</f>
        <v>679.66</v>
      </c>
      <c r="F15" s="7">
        <f t="shared" si="1"/>
        <v>11316.34</v>
      </c>
    </row>
    <row r="16" spans="1:6">
      <c r="A16" s="13" t="s">
        <v>22</v>
      </c>
      <c r="B16" s="8" t="s">
        <v>23</v>
      </c>
      <c r="C16" s="5">
        <f>PRODUCT('[9]MATERIAL '!J7)</f>
        <v>26.56</v>
      </c>
      <c r="D16" s="11" t="s">
        <v>8</v>
      </c>
      <c r="E16" s="16">
        <f>[9]ESTIMATE!I30</f>
        <v>117.54</v>
      </c>
      <c r="F16" s="7">
        <f t="shared" si="1"/>
        <v>3121.86</v>
      </c>
    </row>
    <row r="17" spans="1:6">
      <c r="A17" s="17"/>
      <c r="B17" s="17"/>
      <c r="C17" s="333" t="s">
        <v>24</v>
      </c>
      <c r="D17" s="333"/>
      <c r="E17" s="334"/>
      <c r="F17" s="7">
        <f>SUM(F5:F16)</f>
        <v>175037.28</v>
      </c>
    </row>
    <row r="18" spans="1:6">
      <c r="A18" s="17"/>
      <c r="B18" s="17"/>
      <c r="C18" s="335" t="s">
        <v>25</v>
      </c>
      <c r="D18" s="333"/>
      <c r="E18" s="334"/>
      <c r="F18" s="7">
        <f>F17*18%</f>
        <v>31506.7104</v>
      </c>
    </row>
    <row r="19" spans="1:6">
      <c r="A19" s="17"/>
      <c r="B19" s="17"/>
      <c r="C19" s="335" t="s">
        <v>24</v>
      </c>
      <c r="D19" s="333"/>
      <c r="E19" s="334"/>
      <c r="F19" s="7">
        <f>SUM(F17:F18)</f>
        <v>206543.99040000001</v>
      </c>
    </row>
    <row r="20" spans="1:6">
      <c r="A20" s="17"/>
      <c r="B20" s="17"/>
      <c r="C20" s="333" t="s">
        <v>26</v>
      </c>
      <c r="D20" s="333"/>
      <c r="E20" s="334"/>
      <c r="F20" s="7">
        <f>ROUND(F19*0.01,2)</f>
        <v>2065.44</v>
      </c>
    </row>
    <row r="21" spans="1:6">
      <c r="A21" s="17"/>
      <c r="B21" s="17"/>
      <c r="C21" s="335" t="s">
        <v>24</v>
      </c>
      <c r="D21" s="333"/>
      <c r="E21" s="334"/>
      <c r="F21" s="7">
        <f>SUM(F19:F20)</f>
        <v>208609.43040000001</v>
      </c>
    </row>
    <row r="22" spans="1:6">
      <c r="A22" s="17"/>
      <c r="B22" s="17"/>
      <c r="C22" s="333" t="s">
        <v>27</v>
      </c>
      <c r="D22" s="333"/>
      <c r="E22" s="334"/>
      <c r="F22" s="7">
        <v>208609</v>
      </c>
    </row>
    <row r="23" spans="1:6">
      <c r="A23" s="18"/>
      <c r="B23" s="18"/>
      <c r="C23" s="19"/>
      <c r="D23" s="19"/>
      <c r="E23" s="19"/>
      <c r="F23" s="20"/>
    </row>
    <row r="24" spans="1:6" ht="18">
      <c r="A24" s="21"/>
      <c r="B24" s="21"/>
      <c r="C24" s="22"/>
      <c r="D24" s="22"/>
      <c r="E24" s="22"/>
      <c r="F24" s="23"/>
    </row>
    <row r="25" spans="1:6">
      <c r="A25" s="24"/>
      <c r="B25" s="25"/>
      <c r="C25" s="25"/>
      <c r="D25" s="25"/>
      <c r="E25" s="25"/>
      <c r="F25" s="26"/>
    </row>
    <row r="26" spans="1:6">
      <c r="A26" s="24"/>
      <c r="B26" s="25"/>
      <c r="C26" s="25"/>
      <c r="D26" s="25"/>
      <c r="E26" s="25"/>
      <c r="F26" s="26"/>
    </row>
    <row r="27" spans="1:6" ht="18">
      <c r="A27" s="24"/>
      <c r="B27" s="27" t="s">
        <v>28</v>
      </c>
      <c r="C27" s="28" t="s">
        <v>29</v>
      </c>
      <c r="D27" s="25"/>
      <c r="E27" s="25"/>
      <c r="F27" s="23" t="s">
        <v>30</v>
      </c>
    </row>
    <row r="28" spans="1:6" ht="18">
      <c r="A28" s="24"/>
      <c r="B28" s="27" t="s">
        <v>31</v>
      </c>
      <c r="C28" s="28" t="s">
        <v>32</v>
      </c>
      <c r="D28" s="25"/>
      <c r="E28" s="25"/>
      <c r="F28" s="23" t="s">
        <v>31</v>
      </c>
    </row>
    <row r="29" spans="1:6">
      <c r="A29" s="25"/>
      <c r="B29" s="25"/>
      <c r="C29" s="25"/>
      <c r="D29" s="25"/>
      <c r="E29" s="25"/>
      <c r="F29" s="26"/>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0"/>
  </sheetPr>
  <dimension ref="A1:G26"/>
  <sheetViews>
    <sheetView topLeftCell="A7" workbookViewId="0">
      <selection activeCell="F8" sqref="F8"/>
    </sheetView>
  </sheetViews>
  <sheetFormatPr defaultRowHeight="63.75" customHeight="1"/>
  <cols>
    <col min="1" max="1" width="6.140625" style="115" customWidth="1"/>
    <col min="2" max="2" width="47.5703125" style="115" customWidth="1"/>
    <col min="3" max="3" width="9" style="115" bestFit="1" customWidth="1"/>
    <col min="4" max="4" width="5.28515625" style="115" customWidth="1"/>
    <col min="5" max="5" width="10.7109375" style="115" customWidth="1"/>
    <col min="6" max="6" width="22" style="115" customWidth="1"/>
    <col min="7" max="16384" width="9.140625" style="115"/>
  </cols>
  <sheetData>
    <row r="1" spans="1:7" ht="22.5">
      <c r="B1" s="352" t="s">
        <v>0</v>
      </c>
      <c r="C1" s="352"/>
      <c r="D1" s="352"/>
      <c r="E1" s="352"/>
      <c r="F1" s="352"/>
    </row>
    <row r="2" spans="1:7" ht="15.75">
      <c r="B2" s="353" t="s">
        <v>83</v>
      </c>
      <c r="C2" s="353"/>
      <c r="D2" s="353"/>
      <c r="E2" s="353"/>
      <c r="F2" s="353"/>
    </row>
    <row r="3" spans="1:7" ht="31.5" customHeight="1">
      <c r="A3" s="116"/>
      <c r="B3" s="354" t="str">
        <f>[10]Sheet1!B2</f>
        <v>Name of Work :- Construction of P.C.C road  inAshok Vihar Extension near Ashhoka Apartment Under Ward No.25.</v>
      </c>
      <c r="C3" s="354"/>
      <c r="D3" s="354"/>
      <c r="E3" s="354"/>
      <c r="F3" s="354"/>
      <c r="G3" s="117"/>
    </row>
    <row r="4" spans="1:7" ht="30" customHeight="1">
      <c r="A4" s="118" t="s">
        <v>39</v>
      </c>
      <c r="B4" s="118" t="s">
        <v>40</v>
      </c>
      <c r="C4" s="118" t="s">
        <v>41</v>
      </c>
      <c r="D4" s="118" t="s">
        <v>5</v>
      </c>
      <c r="E4" s="118" t="s">
        <v>42</v>
      </c>
      <c r="F4" s="119" t="s">
        <v>43</v>
      </c>
      <c r="G4" s="120"/>
    </row>
    <row r="5" spans="1:7" ht="114.75">
      <c r="A5" s="118" t="s">
        <v>97</v>
      </c>
      <c r="B5" s="121" t="s">
        <v>98</v>
      </c>
      <c r="C5" s="122">
        <f>[10]Sheet1!G8</f>
        <v>54.29</v>
      </c>
      <c r="D5" s="122" t="s">
        <v>61</v>
      </c>
      <c r="E5" s="122">
        <v>151.82</v>
      </c>
      <c r="F5" s="123">
        <f>ROUND(C5*E5,0)</f>
        <v>8242</v>
      </c>
      <c r="G5" s="120"/>
    </row>
    <row r="6" spans="1:7" ht="89.25">
      <c r="A6" s="118" t="s">
        <v>99</v>
      </c>
      <c r="B6" s="124" t="s">
        <v>100</v>
      </c>
      <c r="C6" s="122">
        <f>[10]Sheet1!G13</f>
        <v>23.020000000000003</v>
      </c>
      <c r="D6" s="122" t="s">
        <v>61</v>
      </c>
      <c r="E6" s="125">
        <v>347.85</v>
      </c>
      <c r="F6" s="123">
        <f t="shared" ref="F6:F10" si="0">ROUND(C6*E6,0)</f>
        <v>8008</v>
      </c>
      <c r="G6" s="120"/>
    </row>
    <row r="7" spans="1:7">
      <c r="A7" s="118" t="s">
        <v>101</v>
      </c>
      <c r="B7" s="121" t="s">
        <v>65</v>
      </c>
      <c r="C7" s="123">
        <f>[10]Sheet1!G18</f>
        <v>38.36</v>
      </c>
      <c r="D7" s="122" t="s">
        <v>61</v>
      </c>
      <c r="E7" s="126">
        <v>1756.4</v>
      </c>
      <c r="F7" s="123">
        <f t="shared" si="0"/>
        <v>67376</v>
      </c>
      <c r="G7" s="120"/>
    </row>
    <row r="8" spans="1:7" ht="76.5">
      <c r="A8" s="118" t="s">
        <v>102</v>
      </c>
      <c r="B8" s="121" t="s">
        <v>103</v>
      </c>
      <c r="C8" s="123">
        <f>[10]Sheet1!G22</f>
        <v>38.949999999999996</v>
      </c>
      <c r="D8" s="122" t="s">
        <v>61</v>
      </c>
      <c r="E8" s="123">
        <v>4961.7299999999996</v>
      </c>
      <c r="F8" s="123">
        <f t="shared" si="0"/>
        <v>193259</v>
      </c>
      <c r="G8" s="120"/>
    </row>
    <row r="9" spans="1:7" ht="38.25">
      <c r="A9" s="118" t="s">
        <v>104</v>
      </c>
      <c r="B9" s="121" t="s">
        <v>105</v>
      </c>
      <c r="C9" s="123"/>
      <c r="D9" s="122"/>
      <c r="E9" s="123"/>
      <c r="F9" s="123"/>
      <c r="G9" s="120"/>
    </row>
    <row r="10" spans="1:7" ht="25.5">
      <c r="A10" s="118"/>
      <c r="B10" s="121" t="s">
        <v>106</v>
      </c>
      <c r="C10" s="123">
        <f>[10]Sheet1!G27</f>
        <v>23.240000000000002</v>
      </c>
      <c r="D10" s="122" t="s">
        <v>45</v>
      </c>
      <c r="E10" s="123">
        <v>194.5</v>
      </c>
      <c r="F10" s="123">
        <f t="shared" si="0"/>
        <v>4520</v>
      </c>
      <c r="G10" s="120"/>
    </row>
    <row r="11" spans="1:7" ht="15.75" customHeight="1">
      <c r="A11" s="118">
        <v>6</v>
      </c>
      <c r="B11" s="127" t="s">
        <v>71</v>
      </c>
      <c r="C11" s="128"/>
      <c r="D11" s="128"/>
      <c r="E11" s="128"/>
      <c r="F11" s="129"/>
      <c r="G11" s="120"/>
    </row>
    <row r="12" spans="1:7" ht="17.25" customHeight="1">
      <c r="A12" s="130" t="s">
        <v>14</v>
      </c>
      <c r="B12" s="131" t="s">
        <v>107</v>
      </c>
      <c r="C12" s="128">
        <f>[10]Sheet2!F7</f>
        <v>16.71</v>
      </c>
      <c r="D12" s="132" t="s">
        <v>108</v>
      </c>
      <c r="E12" s="133">
        <v>819.06</v>
      </c>
      <c r="F12" s="134">
        <f>ROUND(C12*E12,0)</f>
        <v>13686</v>
      </c>
      <c r="G12" s="120"/>
    </row>
    <row r="13" spans="1:7" ht="17.25" customHeight="1">
      <c r="A13" s="135" t="s">
        <v>16</v>
      </c>
      <c r="B13" s="131" t="s">
        <v>109</v>
      </c>
      <c r="C13" s="128">
        <f>[10]Sheet2!E7</f>
        <v>23.020000000000003</v>
      </c>
      <c r="D13" s="132" t="s">
        <v>108</v>
      </c>
      <c r="E13" s="133">
        <f>E15</f>
        <v>417.3</v>
      </c>
      <c r="F13" s="134">
        <f>E13*C13</f>
        <v>9606.246000000001</v>
      </c>
      <c r="G13" s="120"/>
    </row>
    <row r="14" spans="1:7" ht="21" customHeight="1">
      <c r="A14" s="135" t="s">
        <v>18</v>
      </c>
      <c r="B14" s="131" t="s">
        <v>110</v>
      </c>
      <c r="C14" s="128">
        <f>[10]Sheet2!H7</f>
        <v>38.36</v>
      </c>
      <c r="D14" s="132" t="s">
        <v>108</v>
      </c>
      <c r="E14" s="133">
        <v>648.59</v>
      </c>
      <c r="F14" s="134">
        <f>ROUNDUP(C14*E14,0)</f>
        <v>24880</v>
      </c>
      <c r="G14" s="120"/>
    </row>
    <row r="15" spans="1:7" ht="22.5" customHeight="1">
      <c r="A15" s="135" t="s">
        <v>20</v>
      </c>
      <c r="B15" s="131" t="s">
        <v>111</v>
      </c>
      <c r="C15" s="128">
        <f>[10]Sheet2!G7</f>
        <v>33.42</v>
      </c>
      <c r="D15" s="132" t="s">
        <v>108</v>
      </c>
      <c r="E15" s="133">
        <v>417.3</v>
      </c>
      <c r="F15" s="134">
        <f>ROUNDUP(C15*E15,0)</f>
        <v>13947</v>
      </c>
      <c r="G15" s="120"/>
    </row>
    <row r="16" spans="1:7" ht="23.25" customHeight="1">
      <c r="A16" s="135" t="s">
        <v>22</v>
      </c>
      <c r="B16" s="131" t="s">
        <v>51</v>
      </c>
      <c r="C16" s="128">
        <f>[10]Sheet2!I7</f>
        <v>54.29</v>
      </c>
      <c r="D16" s="132" t="s">
        <v>108</v>
      </c>
      <c r="E16" s="133">
        <v>117.54</v>
      </c>
      <c r="F16" s="134">
        <f>ROUNDUP(C16*E16,0)</f>
        <v>6382</v>
      </c>
    </row>
    <row r="17" spans="1:6" ht="12.75">
      <c r="A17" s="116"/>
      <c r="B17" s="348" t="s">
        <v>24</v>
      </c>
      <c r="C17" s="349"/>
      <c r="D17" s="349"/>
      <c r="E17" s="350"/>
      <c r="F17" s="134">
        <f>SUM(F5:F16)</f>
        <v>349906.24599999998</v>
      </c>
    </row>
    <row r="18" spans="1:6" ht="12.75">
      <c r="A18" s="116"/>
      <c r="B18" s="345" t="s">
        <v>112</v>
      </c>
      <c r="C18" s="346"/>
      <c r="D18" s="346"/>
      <c r="E18" s="347"/>
      <c r="F18" s="134">
        <f>F17*18%</f>
        <v>62983.124279999996</v>
      </c>
    </row>
    <row r="19" spans="1:6" ht="12.75">
      <c r="A19" s="116"/>
      <c r="B19" s="348" t="s">
        <v>113</v>
      </c>
      <c r="C19" s="349"/>
      <c r="D19" s="349"/>
      <c r="E19" s="350"/>
      <c r="F19" s="134">
        <f>SUM(F17:F18)</f>
        <v>412889.37027999997</v>
      </c>
    </row>
    <row r="20" spans="1:6" ht="12.75">
      <c r="A20" s="116"/>
      <c r="B20" s="345" t="s">
        <v>114</v>
      </c>
      <c r="C20" s="346"/>
      <c r="D20" s="346"/>
      <c r="E20" s="347"/>
      <c r="F20" s="134">
        <f>ROUND(F19*1/100,0)</f>
        <v>4129</v>
      </c>
    </row>
    <row r="21" spans="1:6" ht="12.75">
      <c r="A21" s="116"/>
      <c r="B21" s="348" t="s">
        <v>113</v>
      </c>
      <c r="C21" s="349"/>
      <c r="D21" s="349"/>
      <c r="E21" s="350"/>
      <c r="F21" s="134">
        <f>SUM(F19:F20)</f>
        <v>417018.37027999997</v>
      </c>
    </row>
    <row r="24" spans="1:6" ht="26.25">
      <c r="A24" s="351"/>
      <c r="B24" s="351"/>
      <c r="C24" s="351"/>
      <c r="D24" s="351"/>
      <c r="E24" s="351"/>
      <c r="F24" s="351"/>
    </row>
    <row r="26" spans="1:6" ht="26.25">
      <c r="A26" s="351"/>
      <c r="B26" s="351"/>
      <c r="C26" s="351"/>
      <c r="D26" s="351"/>
      <c r="E26" s="351"/>
      <c r="F26" s="351"/>
    </row>
  </sheetData>
  <mergeCells count="10">
    <mergeCell ref="B20:E20"/>
    <mergeCell ref="B21:E21"/>
    <mergeCell ref="A24:F24"/>
    <mergeCell ref="A26:F26"/>
    <mergeCell ref="B1:F1"/>
    <mergeCell ref="B2:F2"/>
    <mergeCell ref="B3:F3"/>
    <mergeCell ref="B17:E17"/>
    <mergeCell ref="B18:E18"/>
    <mergeCell ref="B19:E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B3" sqref="B3:F3"/>
    </sheetView>
  </sheetViews>
  <sheetFormatPr defaultRowHeight="63.75" customHeight="1"/>
  <cols>
    <col min="1" max="1" width="6.140625" style="115" customWidth="1"/>
    <col min="2" max="2" width="47.5703125" style="115" customWidth="1"/>
    <col min="3" max="3" width="9" style="115" bestFit="1" customWidth="1"/>
    <col min="4" max="4" width="5.28515625" style="115" customWidth="1"/>
    <col min="5" max="5" width="10.7109375" style="115" customWidth="1"/>
    <col min="6" max="6" width="22" style="115" customWidth="1"/>
    <col min="7" max="16384" width="9.140625" style="115"/>
  </cols>
  <sheetData>
    <row r="1" spans="1:7" ht="22.5">
      <c r="B1" s="352" t="s">
        <v>0</v>
      </c>
      <c r="C1" s="352"/>
      <c r="D1" s="352"/>
      <c r="E1" s="352"/>
      <c r="F1" s="352"/>
    </row>
    <row r="2" spans="1:7" ht="15.75">
      <c r="B2" s="353" t="s">
        <v>83</v>
      </c>
      <c r="C2" s="353"/>
      <c r="D2" s="353"/>
      <c r="E2" s="353"/>
      <c r="F2" s="353"/>
    </row>
    <row r="3" spans="1:7" ht="31.5" customHeight="1">
      <c r="A3" s="116"/>
      <c r="B3" s="354" t="str">
        <f>[11]Sheet1!B2</f>
        <v>Name of Work :- Construction of P.C.C road  inHarmu Housing Colony Around Sec VI Park and HI Qtrs. Near Astha Hospital Under Ward No.25.</v>
      </c>
      <c r="C3" s="354"/>
      <c r="D3" s="354"/>
      <c r="E3" s="354"/>
      <c r="F3" s="354"/>
      <c r="G3" s="117"/>
    </row>
    <row r="4" spans="1:7" ht="30" customHeight="1">
      <c r="A4" s="118" t="s">
        <v>39</v>
      </c>
      <c r="B4" s="118" t="s">
        <v>40</v>
      </c>
      <c r="C4" s="118" t="s">
        <v>41</v>
      </c>
      <c r="D4" s="118" t="s">
        <v>5</v>
      </c>
      <c r="E4" s="118" t="s">
        <v>42</v>
      </c>
      <c r="F4" s="119" t="s">
        <v>43</v>
      </c>
      <c r="G4" s="120"/>
    </row>
    <row r="5" spans="1:7" ht="114.75">
      <c r="A5" s="118" t="s">
        <v>97</v>
      </c>
      <c r="B5" s="121" t="s">
        <v>98</v>
      </c>
      <c r="C5" s="122">
        <f>[11]Sheet1!G9</f>
        <v>46.36</v>
      </c>
      <c r="D5" s="122" t="s">
        <v>61</v>
      </c>
      <c r="E5" s="122">
        <v>151.82</v>
      </c>
      <c r="F5" s="123">
        <f>ROUND(C5*E5,0)</f>
        <v>7038</v>
      </c>
      <c r="G5" s="120"/>
    </row>
    <row r="6" spans="1:7" ht="89.25">
      <c r="A6" s="118" t="s">
        <v>99</v>
      </c>
      <c r="B6" s="124" t="s">
        <v>100</v>
      </c>
      <c r="C6" s="122">
        <f>[11]Sheet1!G15</f>
        <v>25.560000000000002</v>
      </c>
      <c r="D6" s="122" t="s">
        <v>61</v>
      </c>
      <c r="E6" s="125">
        <v>347.85</v>
      </c>
      <c r="F6" s="123">
        <f t="shared" ref="F6:F10" si="0">ROUND(C6*E6,0)</f>
        <v>8891</v>
      </c>
      <c r="G6" s="120"/>
    </row>
    <row r="7" spans="1:7">
      <c r="A7" s="118" t="s">
        <v>101</v>
      </c>
      <c r="B7" s="121" t="s">
        <v>65</v>
      </c>
      <c r="C7" s="123">
        <f>[11]Sheet1!G21</f>
        <v>42.6</v>
      </c>
      <c r="D7" s="122" t="s">
        <v>61</v>
      </c>
      <c r="E7" s="126">
        <v>1756.4</v>
      </c>
      <c r="F7" s="123">
        <f t="shared" si="0"/>
        <v>74823</v>
      </c>
      <c r="G7" s="120"/>
    </row>
    <row r="8" spans="1:7" ht="76.5">
      <c r="A8" s="118" t="s">
        <v>102</v>
      </c>
      <c r="B8" s="121" t="s">
        <v>103</v>
      </c>
      <c r="C8" s="123">
        <f>[11]Sheet1!G26</f>
        <v>118.24000000000001</v>
      </c>
      <c r="D8" s="122" t="s">
        <v>61</v>
      </c>
      <c r="E8" s="123">
        <v>4961.7299999999996</v>
      </c>
      <c r="F8" s="123">
        <f t="shared" si="0"/>
        <v>586675</v>
      </c>
      <c r="G8" s="120"/>
    </row>
    <row r="9" spans="1:7" ht="38.25">
      <c r="A9" s="118" t="s">
        <v>104</v>
      </c>
      <c r="B9" s="121" t="s">
        <v>105</v>
      </c>
      <c r="C9" s="123"/>
      <c r="D9" s="122"/>
      <c r="E9" s="123"/>
      <c r="F9" s="123"/>
      <c r="G9" s="120"/>
    </row>
    <row r="10" spans="1:7" ht="25.5">
      <c r="A10" s="118"/>
      <c r="B10" s="121" t="s">
        <v>106</v>
      </c>
      <c r="C10" s="123">
        <f>[11]Sheet1!G31</f>
        <v>60.41</v>
      </c>
      <c r="D10" s="122" t="s">
        <v>45</v>
      </c>
      <c r="E10" s="123">
        <v>194.5</v>
      </c>
      <c r="F10" s="123">
        <f t="shared" si="0"/>
        <v>11750</v>
      </c>
      <c r="G10" s="120"/>
    </row>
    <row r="11" spans="1:7" ht="15.75" customHeight="1">
      <c r="A11" s="118">
        <v>6</v>
      </c>
      <c r="B11" s="127" t="s">
        <v>71</v>
      </c>
      <c r="C11" s="128"/>
      <c r="D11" s="128"/>
      <c r="E11" s="128"/>
      <c r="F11" s="129"/>
      <c r="G11" s="120"/>
    </row>
    <row r="12" spans="1:7" ht="17.25" customHeight="1">
      <c r="A12" s="130" t="s">
        <v>14</v>
      </c>
      <c r="B12" s="131" t="s">
        <v>107</v>
      </c>
      <c r="C12" s="128">
        <f>[11]Sheet2!F7</f>
        <v>50.73</v>
      </c>
      <c r="D12" s="132" t="s">
        <v>108</v>
      </c>
      <c r="E12" s="133">
        <v>819.06</v>
      </c>
      <c r="F12" s="134">
        <f>ROUND(C12*E12,0)</f>
        <v>41551</v>
      </c>
      <c r="G12" s="120"/>
    </row>
    <row r="13" spans="1:7" ht="17.25" customHeight="1">
      <c r="A13" s="135" t="s">
        <v>16</v>
      </c>
      <c r="B13" s="131" t="s">
        <v>109</v>
      </c>
      <c r="C13" s="128">
        <f>[11]Sheet2!E7</f>
        <v>25.560000000000002</v>
      </c>
      <c r="D13" s="132" t="s">
        <v>108</v>
      </c>
      <c r="E13" s="133">
        <f>E15</f>
        <v>417.3</v>
      </c>
      <c r="F13" s="134">
        <f>E13*C13</f>
        <v>10666.188000000002</v>
      </c>
      <c r="G13" s="120"/>
    </row>
    <row r="14" spans="1:7" ht="21" customHeight="1">
      <c r="A14" s="135" t="s">
        <v>18</v>
      </c>
      <c r="B14" s="131" t="s">
        <v>110</v>
      </c>
      <c r="C14" s="128">
        <f>[11]Sheet2!H7</f>
        <v>42.6</v>
      </c>
      <c r="D14" s="132" t="s">
        <v>108</v>
      </c>
      <c r="E14" s="133">
        <v>648.59</v>
      </c>
      <c r="F14" s="134">
        <f>ROUNDUP(C14*E14,0)</f>
        <v>27630</v>
      </c>
      <c r="G14" s="120"/>
    </row>
    <row r="15" spans="1:7" ht="22.5" customHeight="1">
      <c r="A15" s="135" t="s">
        <v>20</v>
      </c>
      <c r="B15" s="131" t="s">
        <v>111</v>
      </c>
      <c r="C15" s="128">
        <f>[11]Sheet2!G7</f>
        <v>101.46</v>
      </c>
      <c r="D15" s="132" t="s">
        <v>108</v>
      </c>
      <c r="E15" s="133">
        <v>417.3</v>
      </c>
      <c r="F15" s="134">
        <f>ROUNDUP(C15*E15,0)</f>
        <v>42340</v>
      </c>
      <c r="G15" s="120"/>
    </row>
    <row r="16" spans="1:7" ht="23.25" customHeight="1">
      <c r="A16" s="135" t="s">
        <v>22</v>
      </c>
      <c r="B16" s="131" t="s">
        <v>51</v>
      </c>
      <c r="C16" s="128">
        <f>[11]Sheet2!I7</f>
        <v>46.36</v>
      </c>
      <c r="D16" s="132" t="s">
        <v>108</v>
      </c>
      <c r="E16" s="133">
        <v>117.54</v>
      </c>
      <c r="F16" s="134">
        <f>ROUNDUP(C16*E16,0)</f>
        <v>5450</v>
      </c>
    </row>
    <row r="17" spans="1:6" ht="22.5" customHeight="1">
      <c r="A17" s="116"/>
      <c r="B17" s="348" t="s">
        <v>24</v>
      </c>
      <c r="C17" s="349"/>
      <c r="D17" s="349"/>
      <c r="E17" s="350"/>
      <c r="F17" s="134">
        <f>SUM(F5:F16)</f>
        <v>816814.18799999997</v>
      </c>
    </row>
    <row r="18" spans="1:6" ht="22.5" customHeight="1">
      <c r="A18" s="116"/>
      <c r="B18" s="345" t="s">
        <v>112</v>
      </c>
      <c r="C18" s="346"/>
      <c r="D18" s="346"/>
      <c r="E18" s="347"/>
      <c r="F18" s="134">
        <f>F17*18%</f>
        <v>147026.55383999998</v>
      </c>
    </row>
    <row r="19" spans="1:6" ht="22.5" customHeight="1">
      <c r="A19" s="116"/>
      <c r="B19" s="348" t="s">
        <v>113</v>
      </c>
      <c r="C19" s="349"/>
      <c r="D19" s="349"/>
      <c r="E19" s="350"/>
      <c r="F19" s="134">
        <f>SUM(F17:F18)</f>
        <v>963840.74183999992</v>
      </c>
    </row>
    <row r="20" spans="1:6" ht="32.25" customHeight="1">
      <c r="A20" s="116"/>
      <c r="B20" s="345" t="s">
        <v>114</v>
      </c>
      <c r="C20" s="346"/>
      <c r="D20" s="346"/>
      <c r="E20" s="347"/>
      <c r="F20" s="134">
        <f>ROUND(F19*1/100,0)</f>
        <v>9638</v>
      </c>
    </row>
    <row r="21" spans="1:6" ht="32.25" customHeight="1">
      <c r="A21" s="116"/>
      <c r="B21" s="348" t="s">
        <v>113</v>
      </c>
      <c r="C21" s="349"/>
      <c r="D21" s="349"/>
      <c r="E21" s="350"/>
      <c r="F21" s="134">
        <f>SUM(F19:F20)</f>
        <v>973478.74183999992</v>
      </c>
    </row>
  </sheetData>
  <mergeCells count="8">
    <mergeCell ref="B20:E20"/>
    <mergeCell ref="B21:E21"/>
    <mergeCell ref="B1:F1"/>
    <mergeCell ref="B2:F2"/>
    <mergeCell ref="B3:F3"/>
    <mergeCell ref="B17:E17"/>
    <mergeCell ref="B18:E18"/>
    <mergeCell ref="B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theme="0"/>
  </sheetPr>
  <dimension ref="A1:F25"/>
  <sheetViews>
    <sheetView topLeftCell="A19" workbookViewId="0">
      <selection activeCell="I26" sqref="I26"/>
    </sheetView>
  </sheetViews>
  <sheetFormatPr defaultRowHeight="63.75" customHeight="1"/>
  <cols>
    <col min="1" max="1" width="6.140625" style="115" customWidth="1"/>
    <col min="2" max="2" width="52.7109375" style="115" customWidth="1"/>
    <col min="3" max="3" width="8.5703125" style="115" bestFit="1" customWidth="1"/>
    <col min="4" max="4" width="5.28515625" style="115" customWidth="1"/>
    <col min="5" max="5" width="11.140625" style="115" customWidth="1"/>
    <col min="6" max="6" width="13.140625" style="115" customWidth="1"/>
    <col min="7" max="16384" width="9.140625" style="115"/>
  </cols>
  <sheetData>
    <row r="1" spans="1:6" ht="22.5">
      <c r="B1" s="358" t="s">
        <v>0</v>
      </c>
      <c r="C1" s="358"/>
      <c r="D1" s="358"/>
      <c r="E1" s="358"/>
      <c r="F1" s="358"/>
    </row>
    <row r="2" spans="1:6" ht="39.75" customHeight="1">
      <c r="B2" s="359" t="s">
        <v>83</v>
      </c>
      <c r="C2" s="359"/>
      <c r="D2" s="359"/>
      <c r="E2" s="359"/>
      <c r="F2" s="359"/>
    </row>
    <row r="3" spans="1:6" ht="31.5" customHeight="1">
      <c r="A3" s="116"/>
      <c r="B3" s="360" t="s">
        <v>301</v>
      </c>
      <c r="C3" s="361"/>
      <c r="D3" s="361"/>
      <c r="E3" s="361"/>
      <c r="F3" s="361"/>
    </row>
    <row r="4" spans="1:6" ht="30" customHeight="1">
      <c r="A4" s="118" t="s">
        <v>39</v>
      </c>
      <c r="B4" s="118" t="s">
        <v>40</v>
      </c>
      <c r="C4" s="118" t="s">
        <v>41</v>
      </c>
      <c r="D4" s="118" t="s">
        <v>5</v>
      </c>
      <c r="E4" s="118" t="s">
        <v>42</v>
      </c>
      <c r="F4" s="119" t="s">
        <v>43</v>
      </c>
    </row>
    <row r="5" spans="1:6" ht="114.75">
      <c r="A5" s="118" t="s">
        <v>97</v>
      </c>
      <c r="B5" s="121" t="s">
        <v>98</v>
      </c>
      <c r="C5" s="122">
        <v>30.69</v>
      </c>
      <c r="D5" s="119" t="s">
        <v>61</v>
      </c>
      <c r="E5" s="119">
        <v>151.82</v>
      </c>
      <c r="F5" s="123">
        <f>ROUND(C5*E5,0)</f>
        <v>4659</v>
      </c>
    </row>
    <row r="6" spans="1:6" ht="89.25">
      <c r="A6" s="118" t="s">
        <v>99</v>
      </c>
      <c r="B6" s="124" t="s">
        <v>100</v>
      </c>
      <c r="C6" s="122">
        <v>9.2100000000000009</v>
      </c>
      <c r="D6" s="119" t="s">
        <v>61</v>
      </c>
      <c r="E6" s="125">
        <v>347.85</v>
      </c>
      <c r="F6" s="123">
        <f>ROUND(C6*E6,0)</f>
        <v>3204</v>
      </c>
    </row>
    <row r="7" spans="1:6">
      <c r="A7" s="118" t="s">
        <v>101</v>
      </c>
      <c r="B7" s="121" t="s">
        <v>65</v>
      </c>
      <c r="C7" s="123">
        <v>15.35</v>
      </c>
      <c r="D7" s="119" t="s">
        <v>61</v>
      </c>
      <c r="E7" s="126">
        <v>1756.4</v>
      </c>
      <c r="F7" s="123">
        <f>ROUND(C7*E7,0)</f>
        <v>26961</v>
      </c>
    </row>
    <row r="8" spans="1:6">
      <c r="A8" s="118" t="s">
        <v>102</v>
      </c>
      <c r="B8" s="121" t="s">
        <v>103</v>
      </c>
      <c r="C8" s="123">
        <v>18.41</v>
      </c>
      <c r="D8" s="119" t="s">
        <v>61</v>
      </c>
      <c r="E8" s="160">
        <v>4961.7299999999996</v>
      </c>
      <c r="F8" s="123">
        <f>ROUND(C8*E8,0)</f>
        <v>91345</v>
      </c>
    </row>
    <row r="9" spans="1:6" ht="38.25">
      <c r="A9" s="118" t="s">
        <v>104</v>
      </c>
      <c r="B9" s="121" t="s">
        <v>105</v>
      </c>
      <c r="C9" s="160"/>
      <c r="D9" s="119"/>
      <c r="E9" s="160"/>
      <c r="F9" s="123"/>
    </row>
    <row r="10" spans="1:6" ht="25.5">
      <c r="A10" s="118"/>
      <c r="B10" s="121" t="s">
        <v>106</v>
      </c>
      <c r="C10" s="123">
        <v>12.01</v>
      </c>
      <c r="D10" s="119" t="s">
        <v>45</v>
      </c>
      <c r="E10" s="160">
        <v>194.5</v>
      </c>
      <c r="F10" s="123">
        <f>ROUND(C10*E10,0)</f>
        <v>2336</v>
      </c>
    </row>
    <row r="11" spans="1:6" ht="15.75" customHeight="1">
      <c r="A11" s="118">
        <v>6</v>
      </c>
      <c r="B11" s="127" t="s">
        <v>71</v>
      </c>
      <c r="C11" s="128"/>
      <c r="D11" s="128"/>
      <c r="E11" s="128"/>
      <c r="F11" s="129"/>
    </row>
    <row r="12" spans="1:6" ht="17.25" customHeight="1">
      <c r="A12" s="130" t="s">
        <v>14</v>
      </c>
      <c r="B12" s="131" t="s">
        <v>107</v>
      </c>
      <c r="C12" s="128">
        <f>[12]Sheet2!F7</f>
        <v>7.91</v>
      </c>
      <c r="D12" s="132" t="s">
        <v>108</v>
      </c>
      <c r="E12" s="133">
        <v>819.06</v>
      </c>
      <c r="F12" s="134">
        <f>ROUND(C12*E12,0)</f>
        <v>6479</v>
      </c>
    </row>
    <row r="13" spans="1:6" ht="17.25" customHeight="1">
      <c r="A13" s="135" t="s">
        <v>16</v>
      </c>
      <c r="B13" s="131" t="s">
        <v>109</v>
      </c>
      <c r="C13" s="128">
        <f>[12]Sheet2!E7</f>
        <v>9.2099999999999991</v>
      </c>
      <c r="D13" s="132" t="s">
        <v>108</v>
      </c>
      <c r="E13" s="133">
        <f>E15</f>
        <v>417.3</v>
      </c>
      <c r="F13" s="134">
        <f>E13*C13</f>
        <v>3843.3329999999996</v>
      </c>
    </row>
    <row r="14" spans="1:6" ht="21" customHeight="1">
      <c r="A14" s="135" t="s">
        <v>18</v>
      </c>
      <c r="B14" s="131" t="s">
        <v>110</v>
      </c>
      <c r="C14" s="128">
        <f>[12]Sheet2!H7</f>
        <v>15.35</v>
      </c>
      <c r="D14" s="132" t="s">
        <v>108</v>
      </c>
      <c r="E14" s="133">
        <v>648.59</v>
      </c>
      <c r="F14" s="134">
        <f>ROUNDUP(C14*E14,0)</f>
        <v>9956</v>
      </c>
    </row>
    <row r="15" spans="1:6" ht="22.5" customHeight="1">
      <c r="A15" s="135" t="s">
        <v>20</v>
      </c>
      <c r="B15" s="131" t="s">
        <v>111</v>
      </c>
      <c r="C15" s="128">
        <f>[12]Sheet2!G7</f>
        <v>15.82</v>
      </c>
      <c r="D15" s="132" t="s">
        <v>108</v>
      </c>
      <c r="E15" s="133">
        <v>417.3</v>
      </c>
      <c r="F15" s="134">
        <f>ROUNDUP(C15*E15,0)</f>
        <v>6602</v>
      </c>
    </row>
    <row r="16" spans="1:6" ht="23.25" customHeight="1">
      <c r="A16" s="135" t="s">
        <v>22</v>
      </c>
      <c r="B16" s="131" t="s">
        <v>51</v>
      </c>
      <c r="C16" s="128">
        <f>[12]Sheet2!I7</f>
        <v>30.69</v>
      </c>
      <c r="D16" s="132" t="s">
        <v>108</v>
      </c>
      <c r="E16" s="133">
        <v>117.54</v>
      </c>
      <c r="F16" s="134">
        <f>ROUNDUP(C16*E16,0)</f>
        <v>3608</v>
      </c>
    </row>
    <row r="17" spans="1:6" ht="12.75">
      <c r="A17" s="116"/>
      <c r="B17" s="348" t="s">
        <v>24</v>
      </c>
      <c r="C17" s="349"/>
      <c r="D17" s="349"/>
      <c r="E17" s="350"/>
      <c r="F17" s="134">
        <f>SUM(F5:F16)</f>
        <v>158993.33300000001</v>
      </c>
    </row>
    <row r="18" spans="1:6" ht="12.75">
      <c r="A18" s="116"/>
      <c r="B18" s="345" t="s">
        <v>112</v>
      </c>
      <c r="C18" s="346"/>
      <c r="D18" s="346"/>
      <c r="E18" s="347"/>
      <c r="F18" s="134">
        <f>F17*18%</f>
        <v>28618.799940000001</v>
      </c>
    </row>
    <row r="19" spans="1:6" ht="12.75">
      <c r="A19" s="116"/>
      <c r="B19" s="348" t="s">
        <v>113</v>
      </c>
      <c r="C19" s="349"/>
      <c r="D19" s="349"/>
      <c r="E19" s="350"/>
      <c r="F19" s="134">
        <f>SUM(F17:F18)</f>
        <v>187612.13294000001</v>
      </c>
    </row>
    <row r="20" spans="1:6" ht="12.75">
      <c r="A20" s="116"/>
      <c r="B20" s="345" t="s">
        <v>114</v>
      </c>
      <c r="C20" s="346"/>
      <c r="D20" s="346"/>
      <c r="E20" s="347"/>
      <c r="F20" s="134">
        <f>ROUND(F19*1/100,0)</f>
        <v>1876</v>
      </c>
    </row>
    <row r="21" spans="1:6" ht="12.75">
      <c r="A21" s="116"/>
      <c r="B21" s="348" t="s">
        <v>113</v>
      </c>
      <c r="C21" s="349"/>
      <c r="D21" s="349"/>
      <c r="E21" s="350"/>
      <c r="F21" s="134">
        <f>SUM(F19:F20)</f>
        <v>189488.13294000001</v>
      </c>
    </row>
    <row r="22" spans="1:6" ht="12.75">
      <c r="A22" s="158"/>
      <c r="B22" s="355" t="s">
        <v>27</v>
      </c>
      <c r="C22" s="356"/>
      <c r="D22" s="356"/>
      <c r="E22" s="357"/>
      <c r="F22" s="123">
        <v>190510</v>
      </c>
    </row>
    <row r="23" spans="1:6" ht="12.75">
      <c r="C23" s="174"/>
      <c r="F23" s="175"/>
    </row>
    <row r="25" spans="1:6" ht="26.25">
      <c r="A25" s="351"/>
      <c r="B25" s="351"/>
      <c r="C25" s="351"/>
      <c r="D25" s="351"/>
      <c r="E25" s="351"/>
      <c r="F25" s="351"/>
    </row>
  </sheetData>
  <mergeCells count="10">
    <mergeCell ref="B20:E20"/>
    <mergeCell ref="B21:E21"/>
    <mergeCell ref="B22:E22"/>
    <mergeCell ref="A25:F25"/>
    <mergeCell ref="B1:F1"/>
    <mergeCell ref="B2:F2"/>
    <mergeCell ref="B3:F3"/>
    <mergeCell ref="B17:E17"/>
    <mergeCell ref="B18:E18"/>
    <mergeCell ref="B19:E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0"/>
  <sheetViews>
    <sheetView workbookViewId="0">
      <selection activeCell="B3" sqref="B3:F3"/>
    </sheetView>
  </sheetViews>
  <sheetFormatPr defaultRowHeight="63.75" customHeight="1"/>
  <cols>
    <col min="1" max="1" width="6.140625" style="115" customWidth="1"/>
    <col min="2" max="2" width="47" style="115" customWidth="1"/>
    <col min="3" max="3" width="9.7109375" style="115" customWidth="1"/>
    <col min="4" max="4" width="5.28515625" style="115" customWidth="1"/>
    <col min="5" max="5" width="8.28515625" style="115" customWidth="1"/>
    <col min="6" max="6" width="13.140625" style="115" customWidth="1"/>
    <col min="7" max="16384" width="9.140625" style="115"/>
  </cols>
  <sheetData>
    <row r="1" spans="1:7" ht="13.5">
      <c r="A1" s="136"/>
      <c r="B1" s="365" t="s">
        <v>0</v>
      </c>
      <c r="C1" s="365"/>
      <c r="D1" s="365"/>
      <c r="E1" s="365"/>
      <c r="F1" s="365"/>
      <c r="G1" s="120"/>
    </row>
    <row r="2" spans="1:7" ht="13.5">
      <c r="A2" s="136"/>
      <c r="B2" s="366" t="s">
        <v>83</v>
      </c>
      <c r="C2" s="366"/>
      <c r="D2" s="366"/>
      <c r="E2" s="366"/>
      <c r="F2" s="366"/>
      <c r="G2" s="120"/>
    </row>
    <row r="3" spans="1:7" ht="48" customHeight="1">
      <c r="A3" s="137"/>
      <c r="B3" s="367" t="s">
        <v>115</v>
      </c>
      <c r="C3" s="368"/>
      <c r="D3" s="368"/>
      <c r="E3" s="368"/>
      <c r="F3" s="368"/>
      <c r="G3" s="117"/>
    </row>
    <row r="4" spans="1:7" ht="27">
      <c r="A4" s="138" t="s">
        <v>39</v>
      </c>
      <c r="B4" s="138" t="s">
        <v>40</v>
      </c>
      <c r="C4" s="138" t="s">
        <v>41</v>
      </c>
      <c r="D4" s="138" t="s">
        <v>5</v>
      </c>
      <c r="E4" s="138" t="s">
        <v>42</v>
      </c>
      <c r="F4" s="139" t="s">
        <v>43</v>
      </c>
      <c r="G4" s="120"/>
    </row>
    <row r="5" spans="1:7" ht="108">
      <c r="A5" s="138" t="s">
        <v>116</v>
      </c>
      <c r="B5" s="140" t="s">
        <v>117</v>
      </c>
      <c r="C5" s="141">
        <v>5.67</v>
      </c>
      <c r="D5" s="139" t="s">
        <v>61</v>
      </c>
      <c r="E5" s="142">
        <v>2987.47</v>
      </c>
      <c r="F5" s="141">
        <f>ROUND(C5*E5,0)</f>
        <v>16939</v>
      </c>
      <c r="G5" s="120"/>
    </row>
    <row r="6" spans="1:7" ht="108">
      <c r="A6" s="138" t="s">
        <v>118</v>
      </c>
      <c r="B6" s="140" t="s">
        <v>119</v>
      </c>
      <c r="C6" s="141">
        <v>42.49</v>
      </c>
      <c r="D6" s="139" t="s">
        <v>61</v>
      </c>
      <c r="E6" s="141">
        <v>4961.7299999999996</v>
      </c>
      <c r="F6" s="141">
        <f>ROUND(C6*E6,0)</f>
        <v>210824</v>
      </c>
      <c r="G6" s="120"/>
    </row>
    <row r="7" spans="1:7" ht="108">
      <c r="A7" s="138" t="s">
        <v>120</v>
      </c>
      <c r="B7" s="143" t="s">
        <v>121</v>
      </c>
      <c r="C7" s="144">
        <v>0.95</v>
      </c>
      <c r="D7" s="138" t="s">
        <v>61</v>
      </c>
      <c r="E7" s="144">
        <v>4598.2299999999996</v>
      </c>
      <c r="F7" s="144">
        <f t="shared" ref="F7:F9" si="0">ROUND(E7*C7,0)</f>
        <v>4368</v>
      </c>
      <c r="G7" s="120"/>
    </row>
    <row r="8" spans="1:7" ht="40.5">
      <c r="A8" s="145" t="s">
        <v>122</v>
      </c>
      <c r="B8" s="143" t="s">
        <v>123</v>
      </c>
      <c r="C8" s="144">
        <v>2.83</v>
      </c>
      <c r="D8" s="138" t="s">
        <v>61</v>
      </c>
      <c r="E8" s="146">
        <v>6308.87</v>
      </c>
      <c r="F8" s="144">
        <f t="shared" si="0"/>
        <v>17854</v>
      </c>
      <c r="G8" s="120"/>
    </row>
    <row r="9" spans="1:7" ht="108">
      <c r="A9" s="145" t="s">
        <v>124</v>
      </c>
      <c r="B9" s="143" t="s">
        <v>125</v>
      </c>
      <c r="C9" s="147">
        <v>0.25</v>
      </c>
      <c r="D9" s="138" t="s">
        <v>126</v>
      </c>
      <c r="E9" s="138">
        <v>82096.539999999994</v>
      </c>
      <c r="F9" s="144">
        <f t="shared" si="0"/>
        <v>20524</v>
      </c>
      <c r="G9" s="120"/>
    </row>
    <row r="10" spans="1:7" ht="40.5">
      <c r="A10" s="138" t="s">
        <v>127</v>
      </c>
      <c r="B10" s="140" t="s">
        <v>105</v>
      </c>
      <c r="C10" s="141"/>
      <c r="D10" s="139"/>
      <c r="E10" s="141"/>
      <c r="F10" s="141"/>
      <c r="G10" s="120"/>
    </row>
    <row r="11" spans="1:7" ht="27">
      <c r="A11" s="138"/>
      <c r="B11" s="140" t="s">
        <v>106</v>
      </c>
      <c r="C11" s="141">
        <v>27.89</v>
      </c>
      <c r="D11" s="139" t="s">
        <v>45</v>
      </c>
      <c r="E11" s="141">
        <v>194.5</v>
      </c>
      <c r="F11" s="141">
        <f>ROUND(C11*E11,0)</f>
        <v>5425</v>
      </c>
      <c r="G11" s="120"/>
    </row>
    <row r="12" spans="1:7" ht="13.5">
      <c r="A12" s="138">
        <v>7</v>
      </c>
      <c r="B12" s="148" t="s">
        <v>71</v>
      </c>
      <c r="C12" s="149"/>
      <c r="D12" s="149"/>
      <c r="E12" s="149"/>
      <c r="F12" s="139"/>
      <c r="G12" s="120"/>
    </row>
    <row r="13" spans="1:7" ht="15.75">
      <c r="A13" s="150" t="s">
        <v>14</v>
      </c>
      <c r="B13" s="143" t="s">
        <v>107</v>
      </c>
      <c r="C13" s="149">
        <f>[13]Sheet2!E7</f>
        <v>22.167999999999999</v>
      </c>
      <c r="D13" s="151" t="s">
        <v>128</v>
      </c>
      <c r="E13" s="152">
        <v>819.06</v>
      </c>
      <c r="F13" s="141">
        <f>ROUND(C13*E13,0)</f>
        <v>18157</v>
      </c>
      <c r="G13" s="120"/>
    </row>
    <row r="14" spans="1:7" ht="15.75">
      <c r="A14" s="145" t="s">
        <v>16</v>
      </c>
      <c r="B14" s="143" t="s">
        <v>110</v>
      </c>
      <c r="C14" s="149">
        <f>[13]Sheet2!G7</f>
        <v>5.67</v>
      </c>
      <c r="D14" s="151" t="s">
        <v>128</v>
      </c>
      <c r="E14" s="152">
        <v>648.59</v>
      </c>
      <c r="F14" s="141">
        <f>ROUNDUP(C14*E14,0)</f>
        <v>3678</v>
      </c>
      <c r="G14" s="120"/>
    </row>
    <row r="15" spans="1:7" ht="15.75">
      <c r="A15" s="145" t="s">
        <v>18</v>
      </c>
      <c r="B15" s="143" t="s">
        <v>111</v>
      </c>
      <c r="C15" s="153">
        <f>[13]Sheet2!F7</f>
        <v>39.799999999999997</v>
      </c>
      <c r="D15" s="151" t="s">
        <v>128</v>
      </c>
      <c r="E15" s="152">
        <v>417.3</v>
      </c>
      <c r="F15" s="141">
        <f>ROUNDUP(C15*E15,0)</f>
        <v>16609</v>
      </c>
      <c r="G15" s="120"/>
    </row>
    <row r="16" spans="1:7" ht="13.5">
      <c r="A16" s="154"/>
      <c r="B16" s="362" t="s">
        <v>24</v>
      </c>
      <c r="C16" s="363"/>
      <c r="D16" s="363"/>
      <c r="E16" s="364"/>
      <c r="F16" s="155">
        <f>SUM(F5:F15)</f>
        <v>314378</v>
      </c>
    </row>
    <row r="17" spans="1:6" ht="13.5">
      <c r="A17" s="154"/>
      <c r="B17" s="362" t="s">
        <v>129</v>
      </c>
      <c r="C17" s="363"/>
      <c r="D17" s="363"/>
      <c r="E17" s="364"/>
      <c r="F17" s="155">
        <f>F16*18%</f>
        <v>56588.04</v>
      </c>
    </row>
    <row r="18" spans="1:6" ht="13.5">
      <c r="A18" s="154"/>
      <c r="B18" s="362" t="s">
        <v>113</v>
      </c>
      <c r="C18" s="363"/>
      <c r="D18" s="363"/>
      <c r="E18" s="364"/>
      <c r="F18" s="155">
        <f>SUM(F16:F17)</f>
        <v>370966.04</v>
      </c>
    </row>
    <row r="19" spans="1:6" ht="13.5">
      <c r="A19" s="154"/>
      <c r="B19" s="362" t="s">
        <v>114</v>
      </c>
      <c r="C19" s="363"/>
      <c r="D19" s="363"/>
      <c r="E19" s="364"/>
      <c r="F19" s="155">
        <f>ROUND(F18*1/100,0)</f>
        <v>3710</v>
      </c>
    </row>
    <row r="20" spans="1:6" ht="27.75" customHeight="1">
      <c r="A20" s="154"/>
      <c r="B20" s="362" t="s">
        <v>113</v>
      </c>
      <c r="C20" s="363"/>
      <c r="D20" s="363"/>
      <c r="E20" s="364"/>
      <c r="F20" s="155">
        <f>SUM(F18:F19)</f>
        <v>374676.04</v>
      </c>
    </row>
  </sheetData>
  <mergeCells count="8">
    <mergeCell ref="B19:E19"/>
    <mergeCell ref="B20:E20"/>
    <mergeCell ref="B1:F1"/>
    <mergeCell ref="B2:F2"/>
    <mergeCell ref="B3:F3"/>
    <mergeCell ref="B16:E16"/>
    <mergeCell ref="B17:E17"/>
    <mergeCell ref="B18:E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23"/>
  <sheetViews>
    <sheetView workbookViewId="0">
      <selection activeCell="B3" sqref="B3:F3"/>
    </sheetView>
  </sheetViews>
  <sheetFormatPr defaultRowHeight="63.75" customHeight="1"/>
  <cols>
    <col min="1" max="1" width="6.140625" style="115" customWidth="1"/>
    <col min="2" max="2" width="43.42578125" style="115" customWidth="1"/>
    <col min="3" max="6" width="13.5703125" style="115" customWidth="1"/>
    <col min="7" max="16384" width="9.140625" style="115"/>
  </cols>
  <sheetData>
    <row r="1" spans="1:7" ht="22.5">
      <c r="B1" s="352" t="s">
        <v>0</v>
      </c>
      <c r="C1" s="352"/>
      <c r="D1" s="352"/>
      <c r="E1" s="352"/>
      <c r="F1" s="352"/>
    </row>
    <row r="2" spans="1:7" ht="15.75">
      <c r="B2" s="369" t="s">
        <v>83</v>
      </c>
      <c r="C2" s="369"/>
      <c r="D2" s="369"/>
      <c r="E2" s="369"/>
      <c r="F2" s="369"/>
    </row>
    <row r="3" spans="1:7" ht="31.5" customHeight="1">
      <c r="A3" s="116"/>
      <c r="B3" s="354" t="s">
        <v>130</v>
      </c>
      <c r="C3" s="354"/>
      <c r="D3" s="354"/>
      <c r="E3" s="354"/>
      <c r="F3" s="354"/>
      <c r="G3" s="117"/>
    </row>
    <row r="4" spans="1:7" ht="30" customHeight="1">
      <c r="A4" s="118" t="s">
        <v>39</v>
      </c>
      <c r="B4" s="118" t="s">
        <v>40</v>
      </c>
      <c r="C4" s="118" t="s">
        <v>41</v>
      </c>
      <c r="D4" s="118" t="s">
        <v>5</v>
      </c>
      <c r="E4" s="118" t="s">
        <v>42</v>
      </c>
      <c r="F4" s="119" t="s">
        <v>43</v>
      </c>
      <c r="G4" s="120"/>
    </row>
    <row r="5" spans="1:7" ht="140.25">
      <c r="A5" s="118" t="s">
        <v>97</v>
      </c>
      <c r="B5" s="121" t="s">
        <v>98</v>
      </c>
      <c r="C5" s="122">
        <v>27.1</v>
      </c>
      <c r="D5" s="122" t="s">
        <v>61</v>
      </c>
      <c r="E5" s="122">
        <v>151.82</v>
      </c>
      <c r="F5" s="123">
        <f>ROUND(C5*E5,0)</f>
        <v>4114</v>
      </c>
      <c r="G5" s="120"/>
    </row>
    <row r="6" spans="1:7" ht="89.25">
      <c r="A6" s="118" t="s">
        <v>99</v>
      </c>
      <c r="B6" s="124" t="s">
        <v>100</v>
      </c>
      <c r="C6" s="122">
        <v>15.37</v>
      </c>
      <c r="D6" s="122" t="s">
        <v>61</v>
      </c>
      <c r="E6" s="125">
        <v>347.85</v>
      </c>
      <c r="F6" s="123">
        <f>ROUND(C6*E6,0)</f>
        <v>5346</v>
      </c>
      <c r="G6" s="120"/>
    </row>
    <row r="7" spans="1:7" ht="76.5">
      <c r="A7" s="118" t="s">
        <v>101</v>
      </c>
      <c r="B7" s="121" t="s">
        <v>65</v>
      </c>
      <c r="C7" s="122">
        <v>25.61</v>
      </c>
      <c r="D7" s="122" t="s">
        <v>61</v>
      </c>
      <c r="E7" s="126">
        <v>1756.4</v>
      </c>
      <c r="F7" s="123">
        <f>ROUND(C7*E7,0)</f>
        <v>44981</v>
      </c>
      <c r="G7" s="120"/>
    </row>
    <row r="8" spans="1:7" ht="89.25">
      <c r="A8" s="118" t="s">
        <v>102</v>
      </c>
      <c r="B8" s="121" t="s">
        <v>103</v>
      </c>
      <c r="C8" s="122">
        <v>75.34</v>
      </c>
      <c r="D8" s="122" t="s">
        <v>61</v>
      </c>
      <c r="E8" s="123">
        <v>4961.7299999999996</v>
      </c>
      <c r="F8" s="123">
        <f>ROUND(C8*E8,0)</f>
        <v>373817</v>
      </c>
      <c r="G8" s="120"/>
    </row>
    <row r="9" spans="1:7" ht="38.25">
      <c r="A9" s="118" t="s">
        <v>104</v>
      </c>
      <c r="B9" s="121" t="s">
        <v>105</v>
      </c>
      <c r="C9" s="123">
        <v>45.54</v>
      </c>
      <c r="D9" s="122" t="s">
        <v>45</v>
      </c>
      <c r="E9" s="123">
        <v>194.5</v>
      </c>
      <c r="F9" s="123">
        <f>ROUND(C9*E9,0)</f>
        <v>8858</v>
      </c>
      <c r="G9" s="120"/>
    </row>
    <row r="10" spans="1:7" ht="25.5">
      <c r="A10" s="118"/>
      <c r="B10" s="121" t="s">
        <v>106</v>
      </c>
      <c r="C10" s="156"/>
      <c r="D10" s="157"/>
      <c r="E10" s="156"/>
      <c r="F10" s="123"/>
      <c r="G10" s="120"/>
    </row>
    <row r="11" spans="1:7" ht="15.75" customHeight="1">
      <c r="A11" s="118">
        <v>6</v>
      </c>
      <c r="B11" s="127" t="s">
        <v>71</v>
      </c>
      <c r="C11" s="128"/>
      <c r="D11" s="128"/>
      <c r="E11" s="128"/>
      <c r="F11" s="129"/>
      <c r="G11" s="120"/>
    </row>
    <row r="12" spans="1:7" ht="17.25" customHeight="1">
      <c r="A12" s="130" t="s">
        <v>14</v>
      </c>
      <c r="B12" s="131" t="s">
        <v>107</v>
      </c>
      <c r="C12" s="128">
        <f>[14]Sheet2!F7</f>
        <v>32.33</v>
      </c>
      <c r="D12" s="132" t="s">
        <v>108</v>
      </c>
      <c r="E12" s="133">
        <v>819.06</v>
      </c>
      <c r="F12" s="134">
        <f>ROUND(C12*E12,0)</f>
        <v>26480</v>
      </c>
      <c r="G12" s="120"/>
    </row>
    <row r="13" spans="1:7" ht="17.25" customHeight="1">
      <c r="A13" s="135" t="s">
        <v>16</v>
      </c>
      <c r="B13" s="131" t="s">
        <v>131</v>
      </c>
      <c r="C13" s="128">
        <f>[14]Sheet2!E7</f>
        <v>15.37</v>
      </c>
      <c r="D13" s="132" t="s">
        <v>108</v>
      </c>
      <c r="E13" s="133">
        <v>417.3</v>
      </c>
      <c r="F13" s="134">
        <f>E13*C13</f>
        <v>6413.9009999999998</v>
      </c>
      <c r="G13" s="120"/>
    </row>
    <row r="14" spans="1:7" ht="21" customHeight="1">
      <c r="A14" s="135" t="s">
        <v>18</v>
      </c>
      <c r="B14" s="131" t="s">
        <v>110</v>
      </c>
      <c r="C14" s="128">
        <f>[14]Sheet2!H7</f>
        <v>25.610000000000003</v>
      </c>
      <c r="D14" s="132" t="s">
        <v>108</v>
      </c>
      <c r="E14" s="133">
        <v>648.59</v>
      </c>
      <c r="F14" s="134">
        <f>ROUNDUP(C14*E14,0)</f>
        <v>16611</v>
      </c>
      <c r="G14" s="120"/>
    </row>
    <row r="15" spans="1:7" ht="22.5" customHeight="1">
      <c r="A15" s="135" t="s">
        <v>20</v>
      </c>
      <c r="B15" s="131" t="s">
        <v>111</v>
      </c>
      <c r="C15" s="128">
        <f>[14]Sheet2!G7</f>
        <v>64.66</v>
      </c>
      <c r="D15" s="132" t="s">
        <v>108</v>
      </c>
      <c r="E15" s="133">
        <v>417.3</v>
      </c>
      <c r="F15" s="134">
        <f>ROUNDUP(C15*E15,0)</f>
        <v>26983</v>
      </c>
      <c r="G15" s="120"/>
    </row>
    <row r="16" spans="1:7" ht="23.25" customHeight="1">
      <c r="A16" s="135" t="s">
        <v>22</v>
      </c>
      <c r="B16" s="131" t="s">
        <v>51</v>
      </c>
      <c r="C16" s="128">
        <f>[14]Sheet2!I7</f>
        <v>27.1</v>
      </c>
      <c r="D16" s="132" t="s">
        <v>108</v>
      </c>
      <c r="E16" s="133">
        <v>117.54</v>
      </c>
      <c r="F16" s="134">
        <f>ROUNDUP(C16*E16,0)</f>
        <v>3186</v>
      </c>
    </row>
    <row r="17" spans="1:6" ht="22.5" customHeight="1">
      <c r="A17" s="116"/>
      <c r="B17" s="348" t="s">
        <v>24</v>
      </c>
      <c r="C17" s="349"/>
      <c r="D17" s="349"/>
      <c r="E17" s="350"/>
      <c r="F17" s="134">
        <f>SUM(F5:F16)</f>
        <v>516789.90100000001</v>
      </c>
    </row>
    <row r="18" spans="1:6" ht="22.5" customHeight="1">
      <c r="A18" s="116"/>
      <c r="B18" s="345" t="s">
        <v>112</v>
      </c>
      <c r="C18" s="346"/>
      <c r="D18" s="346"/>
      <c r="E18" s="347"/>
      <c r="F18" s="134">
        <f>F17*18%</f>
        <v>93022.182180000003</v>
      </c>
    </row>
    <row r="19" spans="1:6" ht="22.5" customHeight="1">
      <c r="A19" s="116"/>
      <c r="B19" s="348" t="s">
        <v>113</v>
      </c>
      <c r="C19" s="349"/>
      <c r="D19" s="349"/>
      <c r="E19" s="350"/>
      <c r="F19" s="134">
        <f>SUM(F17:F18)</f>
        <v>609812.08318000007</v>
      </c>
    </row>
    <row r="20" spans="1:6" ht="23.25" customHeight="1">
      <c r="A20" s="116"/>
      <c r="B20" s="345" t="s">
        <v>114</v>
      </c>
      <c r="C20" s="346"/>
      <c r="D20" s="346"/>
      <c r="E20" s="347"/>
      <c r="F20" s="134">
        <f>ROUND(F19*1/100,0)</f>
        <v>6098</v>
      </c>
    </row>
    <row r="21" spans="1:6" ht="28.5" customHeight="1">
      <c r="A21" s="116"/>
      <c r="B21" s="348" t="s">
        <v>113</v>
      </c>
      <c r="C21" s="349"/>
      <c r="D21" s="349"/>
      <c r="E21" s="350"/>
      <c r="F21" s="134">
        <f>SUM(F19:F20)</f>
        <v>615910.08318000007</v>
      </c>
    </row>
    <row r="22" spans="1:6" ht="27.75" customHeight="1">
      <c r="A22" s="158"/>
      <c r="B22" s="355" t="s">
        <v>27</v>
      </c>
      <c r="C22" s="356"/>
      <c r="D22" s="356"/>
      <c r="E22" s="357"/>
      <c r="F22" s="123">
        <v>615910</v>
      </c>
    </row>
    <row r="23" spans="1:6" ht="27.75" customHeight="1">
      <c r="F23" s="159"/>
    </row>
  </sheetData>
  <mergeCells count="9">
    <mergeCell ref="B20:E20"/>
    <mergeCell ref="B21:E21"/>
    <mergeCell ref="B22:E22"/>
    <mergeCell ref="B1:F1"/>
    <mergeCell ref="B2:F2"/>
    <mergeCell ref="B3:F3"/>
    <mergeCell ref="B17:E17"/>
    <mergeCell ref="B18:E18"/>
    <mergeCell ref="B19:E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16"/>
  <sheetViews>
    <sheetView topLeftCell="A7" workbookViewId="0">
      <selection activeCell="B3" sqref="B3:F3"/>
    </sheetView>
  </sheetViews>
  <sheetFormatPr defaultRowHeight="63.75" customHeight="1"/>
  <cols>
    <col min="1" max="1" width="6.140625" style="115" customWidth="1"/>
    <col min="2" max="2" width="45.140625" style="115" customWidth="1"/>
    <col min="3" max="3" width="8.5703125" style="115" bestFit="1" customWidth="1"/>
    <col min="4" max="4" width="5.28515625" style="115" customWidth="1"/>
    <col min="5" max="5" width="8.28515625" style="115" customWidth="1"/>
    <col min="6" max="6" width="13.140625" style="115" customWidth="1"/>
    <col min="7" max="16384" width="9.140625" style="115"/>
  </cols>
  <sheetData>
    <row r="1" spans="1:7" ht="22.5" customHeight="1">
      <c r="A1" s="371" t="s">
        <v>0</v>
      </c>
      <c r="B1" s="371"/>
      <c r="C1" s="371"/>
      <c r="D1" s="371"/>
      <c r="E1" s="371"/>
      <c r="F1" s="371"/>
      <c r="G1" s="120"/>
    </row>
    <row r="2" spans="1:7" ht="15.75">
      <c r="A2" s="372" t="s">
        <v>83</v>
      </c>
      <c r="B2" s="372"/>
      <c r="C2" s="372"/>
      <c r="D2" s="372"/>
      <c r="E2" s="372"/>
      <c r="F2" s="372"/>
      <c r="G2" s="120"/>
    </row>
    <row r="3" spans="1:7" ht="31.5" customHeight="1">
      <c r="A3" s="116"/>
      <c r="B3" s="373" t="s">
        <v>297</v>
      </c>
      <c r="C3" s="373"/>
      <c r="D3" s="373"/>
      <c r="E3" s="373"/>
      <c r="F3" s="373"/>
      <c r="G3" s="117"/>
    </row>
    <row r="4" spans="1:7" ht="30" customHeight="1">
      <c r="A4" s="118" t="s">
        <v>39</v>
      </c>
      <c r="B4" s="118" t="s">
        <v>40</v>
      </c>
      <c r="C4" s="118" t="s">
        <v>41</v>
      </c>
      <c r="D4" s="118" t="s">
        <v>5</v>
      </c>
      <c r="E4" s="118" t="s">
        <v>42</v>
      </c>
      <c r="F4" s="119" t="s">
        <v>43</v>
      </c>
      <c r="G4" s="120"/>
    </row>
    <row r="5" spans="1:7" ht="102">
      <c r="A5" s="118" t="s">
        <v>132</v>
      </c>
      <c r="B5" s="121" t="s">
        <v>119</v>
      </c>
      <c r="C5" s="119">
        <v>58.06</v>
      </c>
      <c r="D5" s="119" t="s">
        <v>61</v>
      </c>
      <c r="E5" s="119">
        <v>4961.7299999999996</v>
      </c>
      <c r="F5" s="122">
        <f t="shared" ref="F5:F10" si="0">ROUND(E5*C5,2)</f>
        <v>288078.03999999998</v>
      </c>
      <c r="G5" s="120"/>
    </row>
    <row r="6" spans="1:7" ht="38.25">
      <c r="A6" s="118" t="s">
        <v>133</v>
      </c>
      <c r="B6" s="121" t="s">
        <v>105</v>
      </c>
      <c r="C6" s="123">
        <v>38.11</v>
      </c>
      <c r="D6" s="119" t="s">
        <v>45</v>
      </c>
      <c r="E6" s="160">
        <v>194.5</v>
      </c>
      <c r="F6" s="122">
        <f t="shared" si="0"/>
        <v>7412.4</v>
      </c>
      <c r="G6" s="120"/>
    </row>
    <row r="7" spans="1:7" ht="25.5">
      <c r="A7" s="118"/>
      <c r="B7" s="121" t="s">
        <v>106</v>
      </c>
      <c r="C7" s="160"/>
      <c r="D7" s="119"/>
      <c r="E7" s="160"/>
      <c r="F7" s="122"/>
      <c r="G7" s="120"/>
    </row>
    <row r="8" spans="1:7" ht="15.75" customHeight="1">
      <c r="A8" s="118">
        <v>3</v>
      </c>
      <c r="B8" s="127" t="s">
        <v>71</v>
      </c>
      <c r="C8" s="119"/>
      <c r="D8" s="119"/>
      <c r="E8" s="119"/>
      <c r="F8" s="122"/>
      <c r="G8" s="120"/>
    </row>
    <row r="9" spans="1:7" ht="17.25" customHeight="1">
      <c r="A9" s="130" t="s">
        <v>14</v>
      </c>
      <c r="B9" s="131" t="s">
        <v>107</v>
      </c>
      <c r="C9" s="119">
        <v>24.92</v>
      </c>
      <c r="D9" s="161" t="s">
        <v>108</v>
      </c>
      <c r="E9" s="85">
        <v>819.06</v>
      </c>
      <c r="F9" s="122">
        <f t="shared" si="0"/>
        <v>20410.98</v>
      </c>
      <c r="G9" s="120"/>
    </row>
    <row r="10" spans="1:7" ht="22.5" customHeight="1">
      <c r="A10" s="135" t="s">
        <v>16</v>
      </c>
      <c r="B10" s="131" t="s">
        <v>111</v>
      </c>
      <c r="C10" s="119">
        <v>49.84</v>
      </c>
      <c r="D10" s="161" t="s">
        <v>108</v>
      </c>
      <c r="E10" s="85">
        <v>417.3</v>
      </c>
      <c r="F10" s="122">
        <f t="shared" si="0"/>
        <v>20798.23</v>
      </c>
      <c r="G10" s="120"/>
    </row>
    <row r="11" spans="1:7" ht="22.5" customHeight="1">
      <c r="A11" s="116"/>
      <c r="B11" s="374" t="s">
        <v>24</v>
      </c>
      <c r="C11" s="374"/>
      <c r="D11" s="374"/>
      <c r="E11" s="374"/>
      <c r="F11" s="134">
        <f>SUM(F5:F10)</f>
        <v>336699.64999999997</v>
      </c>
    </row>
    <row r="12" spans="1:7" ht="15">
      <c r="A12" s="158"/>
      <c r="B12" s="370" t="s">
        <v>134</v>
      </c>
      <c r="C12" s="370"/>
      <c r="D12" s="370"/>
      <c r="E12" s="370"/>
      <c r="F12" s="133">
        <f>ROUND(F11*18%,2)</f>
        <v>60605.94</v>
      </c>
    </row>
    <row r="13" spans="1:7" ht="15">
      <c r="A13" s="158"/>
      <c r="B13" s="370" t="s">
        <v>24</v>
      </c>
      <c r="C13" s="370"/>
      <c r="D13" s="370"/>
      <c r="E13" s="370"/>
      <c r="F13" s="164">
        <f>SUM(F11:F12)</f>
        <v>397305.58999999997</v>
      </c>
    </row>
    <row r="14" spans="1:7" ht="15">
      <c r="A14" s="158"/>
      <c r="B14" s="370" t="s">
        <v>135</v>
      </c>
      <c r="C14" s="370"/>
      <c r="D14" s="370"/>
      <c r="E14" s="370"/>
      <c r="F14" s="133">
        <f>ROUND(F13*1%,2)</f>
        <v>3973.06</v>
      </c>
    </row>
    <row r="15" spans="1:7" ht="15">
      <c r="A15" s="158"/>
      <c r="B15" s="370" t="s">
        <v>24</v>
      </c>
      <c r="C15" s="370"/>
      <c r="D15" s="370"/>
      <c r="E15" s="370"/>
      <c r="F15" s="164">
        <f>SUM(F13:F14)</f>
        <v>401278.64999999997</v>
      </c>
    </row>
    <row r="16" spans="1:7" ht="15">
      <c r="A16" s="158"/>
      <c r="B16" s="370" t="s">
        <v>27</v>
      </c>
      <c r="C16" s="370"/>
      <c r="D16" s="370"/>
      <c r="E16" s="370"/>
      <c r="F16" s="164">
        <v>401280</v>
      </c>
    </row>
  </sheetData>
  <mergeCells count="9">
    <mergeCell ref="B14:E14"/>
    <mergeCell ref="B15:E15"/>
    <mergeCell ref="B16:E16"/>
    <mergeCell ref="A1:F1"/>
    <mergeCell ref="A2:F2"/>
    <mergeCell ref="B3:F3"/>
    <mergeCell ref="B11:E11"/>
    <mergeCell ref="B12:E12"/>
    <mergeCell ref="B13:E1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26"/>
  <sheetViews>
    <sheetView workbookViewId="0">
      <selection activeCell="B3" sqref="B3:F3"/>
    </sheetView>
  </sheetViews>
  <sheetFormatPr defaultRowHeight="63.75" customHeight="1"/>
  <cols>
    <col min="1" max="1" width="6.140625" style="115" customWidth="1"/>
    <col min="2" max="2" width="44.140625" style="115" customWidth="1"/>
    <col min="3" max="3" width="9.7109375" style="115" bestFit="1" customWidth="1"/>
    <col min="4" max="4" width="5.28515625" style="115" customWidth="1"/>
    <col min="5" max="5" width="10.42578125" style="115" customWidth="1"/>
    <col min="6" max="6" width="17" style="115" customWidth="1"/>
    <col min="7" max="16384" width="9.140625" style="115"/>
  </cols>
  <sheetData>
    <row r="1" spans="1:7" ht="22.5" customHeight="1">
      <c r="A1" s="120"/>
      <c r="B1" s="352" t="s">
        <v>0</v>
      </c>
      <c r="C1" s="352"/>
      <c r="D1" s="352"/>
      <c r="E1" s="352"/>
      <c r="F1" s="352"/>
      <c r="G1" s="120"/>
    </row>
    <row r="2" spans="1:7" ht="22.5" customHeight="1">
      <c r="A2" s="120"/>
      <c r="B2" s="375" t="s">
        <v>83</v>
      </c>
      <c r="C2" s="375"/>
      <c r="D2" s="375"/>
      <c r="E2" s="375"/>
      <c r="F2" s="375"/>
      <c r="G2" s="120"/>
    </row>
    <row r="3" spans="1:7" ht="31.5" customHeight="1">
      <c r="A3" s="116"/>
      <c r="B3" s="360" t="s">
        <v>136</v>
      </c>
      <c r="C3" s="361"/>
      <c r="D3" s="361"/>
      <c r="E3" s="361"/>
      <c r="F3" s="376"/>
      <c r="G3" s="117"/>
    </row>
    <row r="4" spans="1:7" ht="30" customHeight="1">
      <c r="A4" s="118" t="s">
        <v>39</v>
      </c>
      <c r="B4" s="118" t="s">
        <v>40</v>
      </c>
      <c r="C4" s="118" t="s">
        <v>41</v>
      </c>
      <c r="D4" s="118" t="s">
        <v>5</v>
      </c>
      <c r="E4" s="118" t="s">
        <v>42</v>
      </c>
      <c r="F4" s="119" t="s">
        <v>43</v>
      </c>
      <c r="G4" s="120"/>
    </row>
    <row r="5" spans="1:7" ht="114.75" customHeight="1">
      <c r="A5" s="118" t="s">
        <v>137</v>
      </c>
      <c r="B5" s="121" t="s">
        <v>103</v>
      </c>
      <c r="C5" s="123">
        <f>[15]Sheet1!G7</f>
        <v>38.239999999999995</v>
      </c>
      <c r="D5" s="122" t="s">
        <v>61</v>
      </c>
      <c r="E5" s="160">
        <v>4961.7299999999996</v>
      </c>
      <c r="F5" s="123">
        <f>ROUND(C5*E5,0)</f>
        <v>189737</v>
      </c>
      <c r="G5" s="120"/>
    </row>
    <row r="6" spans="1:7" ht="38.25">
      <c r="A6" s="118" t="s">
        <v>133</v>
      </c>
      <c r="B6" s="121" t="s">
        <v>105</v>
      </c>
      <c r="C6" s="160"/>
      <c r="D6" s="119"/>
      <c r="E6" s="160"/>
      <c r="F6" s="123"/>
      <c r="G6" s="120"/>
    </row>
    <row r="7" spans="1:7" ht="25.5">
      <c r="A7" s="118"/>
      <c r="B7" s="121" t="s">
        <v>106</v>
      </c>
      <c r="C7" s="123">
        <f>[15]Sheet1!G12</f>
        <v>25.1</v>
      </c>
      <c r="D7" s="119" t="s">
        <v>45</v>
      </c>
      <c r="E7" s="160">
        <v>194.5</v>
      </c>
      <c r="F7" s="123">
        <f>ROUND(C7*E7,0)</f>
        <v>4882</v>
      </c>
      <c r="G7" s="120"/>
    </row>
    <row r="8" spans="1:7" ht="15.75" customHeight="1">
      <c r="A8" s="118">
        <v>3</v>
      </c>
      <c r="B8" s="127" t="s">
        <v>71</v>
      </c>
      <c r="C8" s="119"/>
      <c r="D8" s="119"/>
      <c r="E8" s="119"/>
      <c r="F8" s="122"/>
      <c r="G8" s="120"/>
    </row>
    <row r="9" spans="1:7" ht="17.25" customHeight="1">
      <c r="A9" s="130" t="s">
        <v>14</v>
      </c>
      <c r="B9" s="131" t="s">
        <v>47</v>
      </c>
      <c r="C9" s="119">
        <f>[15]Sheet2!E4</f>
        <v>16.41</v>
      </c>
      <c r="D9" s="161" t="s">
        <v>108</v>
      </c>
      <c r="E9" s="85">
        <v>819.06</v>
      </c>
      <c r="F9" s="123">
        <f>ROUND(C9*E9,0)</f>
        <v>13441</v>
      </c>
      <c r="G9" s="120"/>
    </row>
    <row r="10" spans="1:7" ht="22.5" customHeight="1">
      <c r="A10" s="135" t="s">
        <v>16</v>
      </c>
      <c r="B10" s="131" t="s">
        <v>138</v>
      </c>
      <c r="C10" s="119">
        <f>[15]Sheet2!F4</f>
        <v>32.82</v>
      </c>
      <c r="D10" s="161" t="s">
        <v>108</v>
      </c>
      <c r="E10" s="80">
        <v>417.3</v>
      </c>
      <c r="F10" s="123">
        <f>ROUNDUP(C10*E10,0)</f>
        <v>13696</v>
      </c>
      <c r="G10" s="120"/>
    </row>
    <row r="11" spans="1:7" ht="22.5" customHeight="1">
      <c r="A11" s="116"/>
      <c r="B11" s="165" t="s">
        <v>24</v>
      </c>
      <c r="C11" s="166"/>
      <c r="D11" s="166"/>
      <c r="E11" s="167"/>
      <c r="F11" s="134">
        <f>SUM(F5:F10)</f>
        <v>221756</v>
      </c>
    </row>
    <row r="12" spans="1:7" ht="22.5" customHeight="1">
      <c r="A12" s="116"/>
      <c r="B12" s="168" t="s">
        <v>139</v>
      </c>
      <c r="C12" s="169"/>
      <c r="D12" s="169"/>
      <c r="E12" s="170"/>
      <c r="F12" s="134">
        <f>F11*18%</f>
        <v>39916.080000000002</v>
      </c>
    </row>
    <row r="13" spans="1:7" ht="22.5" customHeight="1">
      <c r="A13" s="116"/>
      <c r="B13" s="165" t="s">
        <v>113</v>
      </c>
      <c r="C13" s="166"/>
      <c r="D13" s="166"/>
      <c r="E13" s="167"/>
      <c r="F13" s="134">
        <f>SUM(F11:F12)</f>
        <v>261672.08000000002</v>
      </c>
    </row>
    <row r="14" spans="1:7" ht="23.25" customHeight="1">
      <c r="A14" s="116"/>
      <c r="B14" s="168" t="s">
        <v>114</v>
      </c>
      <c r="C14" s="169"/>
      <c r="D14" s="169"/>
      <c r="E14" s="170"/>
      <c r="F14" s="134">
        <f>ROUND(F13*1/100,0)</f>
        <v>2617</v>
      </c>
    </row>
    <row r="15" spans="1:7" ht="34.5" customHeight="1">
      <c r="A15" s="116"/>
      <c r="B15" s="165" t="s">
        <v>113</v>
      </c>
      <c r="C15" s="166"/>
      <c r="D15" s="166"/>
      <c r="E15" s="167"/>
      <c r="F15" s="134">
        <f>SUM(F13:F14)</f>
        <v>264289.08</v>
      </c>
    </row>
    <row r="16" spans="1:7" ht="27.75" customHeight="1">
      <c r="A16" s="158"/>
      <c r="B16" s="171" t="s">
        <v>27</v>
      </c>
      <c r="C16" s="172"/>
      <c r="D16" s="172"/>
      <c r="E16" s="173"/>
      <c r="F16" s="123">
        <v>264290</v>
      </c>
    </row>
    <row r="17" spans="1:6" ht="12.75">
      <c r="C17" s="174"/>
      <c r="F17" s="175"/>
    </row>
    <row r="18" spans="1:6" ht="12.75"/>
    <row r="19" spans="1:6" ht="12.75"/>
    <row r="20" spans="1:6" ht="12.75"/>
    <row r="21" spans="1:6" ht="26.25">
      <c r="A21" s="176"/>
      <c r="B21" s="176"/>
      <c r="C21" s="176"/>
      <c r="D21" s="176"/>
      <c r="E21" s="176"/>
      <c r="F21" s="176"/>
    </row>
    <row r="22" spans="1:6" ht="12.75"/>
    <row r="23" spans="1:6" ht="12.75"/>
    <row r="24" spans="1:6" ht="12.75"/>
    <row r="25" spans="1:6" ht="12.75"/>
    <row r="26" spans="1:6" ht="12.75"/>
  </sheetData>
  <mergeCells count="3">
    <mergeCell ref="B1:F1"/>
    <mergeCell ref="B2:F2"/>
    <mergeCell ref="B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25"/>
  <sheetViews>
    <sheetView workbookViewId="0">
      <selection activeCell="B3" sqref="B3:F3"/>
    </sheetView>
  </sheetViews>
  <sheetFormatPr defaultRowHeight="63.75" customHeight="1"/>
  <cols>
    <col min="1" max="1" width="6.140625" style="115" customWidth="1"/>
    <col min="2" max="2" width="44.140625" style="115" customWidth="1"/>
    <col min="3" max="3" width="9.7109375" style="115" bestFit="1" customWidth="1"/>
    <col min="4" max="4" width="5.28515625" style="115" customWidth="1"/>
    <col min="5" max="5" width="10.42578125" style="115" customWidth="1"/>
    <col min="6" max="6" width="17" style="115" customWidth="1"/>
    <col min="7" max="16384" width="9.140625" style="115"/>
  </cols>
  <sheetData>
    <row r="1" spans="1:7" ht="22.5" customHeight="1">
      <c r="A1" s="120"/>
      <c r="B1" s="352" t="s">
        <v>0</v>
      </c>
      <c r="C1" s="352"/>
      <c r="D1" s="352"/>
      <c r="E1" s="352"/>
      <c r="F1" s="352"/>
      <c r="G1" s="120"/>
    </row>
    <row r="2" spans="1:7" ht="22.5" customHeight="1">
      <c r="A2" s="120"/>
      <c r="B2" s="375" t="s">
        <v>83</v>
      </c>
      <c r="C2" s="375"/>
      <c r="D2" s="375"/>
      <c r="E2" s="375"/>
      <c r="F2" s="375"/>
      <c r="G2" s="120"/>
    </row>
    <row r="3" spans="1:7" ht="31.5" customHeight="1">
      <c r="A3" s="116"/>
      <c r="B3" s="360" t="s">
        <v>140</v>
      </c>
      <c r="C3" s="361"/>
      <c r="D3" s="361"/>
      <c r="E3" s="361"/>
      <c r="F3" s="376"/>
      <c r="G3" s="117"/>
    </row>
    <row r="4" spans="1:7" ht="30" customHeight="1">
      <c r="A4" s="118" t="s">
        <v>39</v>
      </c>
      <c r="B4" s="118" t="s">
        <v>40</v>
      </c>
      <c r="C4" s="118" t="s">
        <v>41</v>
      </c>
      <c r="D4" s="118" t="s">
        <v>5</v>
      </c>
      <c r="E4" s="118" t="s">
        <v>42</v>
      </c>
      <c r="F4" s="119" t="s">
        <v>43</v>
      </c>
      <c r="G4" s="120"/>
    </row>
    <row r="5" spans="1:7" ht="114.75" customHeight="1">
      <c r="A5" s="118" t="s">
        <v>137</v>
      </c>
      <c r="B5" s="121" t="s">
        <v>103</v>
      </c>
      <c r="C5" s="123">
        <v>36.82</v>
      </c>
      <c r="D5" s="122" t="s">
        <v>61</v>
      </c>
      <c r="E5" s="160">
        <v>4961.7299999999996</v>
      </c>
      <c r="F5" s="123">
        <f>ROUND(C5*E5,0)</f>
        <v>182691</v>
      </c>
      <c r="G5" s="120"/>
    </row>
    <row r="6" spans="1:7" ht="38.25">
      <c r="A6" s="118" t="s">
        <v>133</v>
      </c>
      <c r="B6" s="121" t="s">
        <v>105</v>
      </c>
      <c r="C6" s="160"/>
      <c r="D6" s="119"/>
      <c r="E6" s="160"/>
      <c r="F6" s="123"/>
      <c r="G6" s="120"/>
    </row>
    <row r="7" spans="1:7" ht="25.5">
      <c r="A7" s="118"/>
      <c r="B7" s="121" t="s">
        <v>106</v>
      </c>
      <c r="C7" s="123">
        <v>24.17</v>
      </c>
      <c r="D7" s="119" t="s">
        <v>45</v>
      </c>
      <c r="E7" s="160">
        <v>194.5</v>
      </c>
      <c r="F7" s="123">
        <f>ROUND(C7*E7,0)</f>
        <v>4701</v>
      </c>
      <c r="G7" s="120"/>
    </row>
    <row r="8" spans="1:7" ht="15.75" customHeight="1">
      <c r="A8" s="118">
        <v>3</v>
      </c>
      <c r="B8" s="127" t="s">
        <v>71</v>
      </c>
      <c r="C8" s="119"/>
      <c r="D8" s="119"/>
      <c r="E8" s="119"/>
      <c r="F8" s="122"/>
      <c r="G8" s="120"/>
    </row>
    <row r="9" spans="1:7" ht="17.25" customHeight="1">
      <c r="A9" s="130" t="s">
        <v>14</v>
      </c>
      <c r="B9" s="131" t="s">
        <v>47</v>
      </c>
      <c r="C9" s="119">
        <v>15.81</v>
      </c>
      <c r="D9" s="161" t="s">
        <v>108</v>
      </c>
      <c r="E9" s="85">
        <v>819.06</v>
      </c>
      <c r="F9" s="123">
        <f>ROUND(C9*E9,0)</f>
        <v>12949</v>
      </c>
      <c r="G9" s="120"/>
    </row>
    <row r="10" spans="1:7" ht="22.5" customHeight="1">
      <c r="A10" s="135" t="s">
        <v>16</v>
      </c>
      <c r="B10" s="131" t="s">
        <v>138</v>
      </c>
      <c r="C10" s="119">
        <v>31.62</v>
      </c>
      <c r="D10" s="161" t="s">
        <v>108</v>
      </c>
      <c r="E10" s="80">
        <v>417.3</v>
      </c>
      <c r="F10" s="123">
        <v>13195.03</v>
      </c>
      <c r="G10" s="120"/>
    </row>
    <row r="11" spans="1:7" ht="22.5" customHeight="1">
      <c r="A11" s="116"/>
      <c r="B11" s="165" t="s">
        <v>24</v>
      </c>
      <c r="C11" s="166"/>
      <c r="D11" s="166"/>
      <c r="E11" s="167"/>
      <c r="F11" s="134">
        <f>SUM(F5:F10)</f>
        <v>213536.03</v>
      </c>
    </row>
    <row r="12" spans="1:7" ht="22.5" customHeight="1">
      <c r="A12" s="116"/>
      <c r="B12" s="168" t="s">
        <v>139</v>
      </c>
      <c r="C12" s="169"/>
      <c r="D12" s="169"/>
      <c r="E12" s="170"/>
      <c r="F12" s="134">
        <f>F11*18%</f>
        <v>38436.485399999998</v>
      </c>
    </row>
    <row r="13" spans="1:7" ht="22.5" customHeight="1">
      <c r="A13" s="116"/>
      <c r="B13" s="165" t="s">
        <v>113</v>
      </c>
      <c r="C13" s="166"/>
      <c r="D13" s="166"/>
      <c r="E13" s="167"/>
      <c r="F13" s="134">
        <f>SUM(F11:F12)</f>
        <v>251972.5154</v>
      </c>
    </row>
    <row r="14" spans="1:7" ht="23.25" customHeight="1">
      <c r="A14" s="116"/>
      <c r="B14" s="168" t="s">
        <v>114</v>
      </c>
      <c r="C14" s="169"/>
      <c r="D14" s="169"/>
      <c r="E14" s="170"/>
      <c r="F14" s="134">
        <f>ROUND(F13*1/100,0)</f>
        <v>2520</v>
      </c>
    </row>
    <row r="15" spans="1:7" ht="34.5" customHeight="1">
      <c r="A15" s="116"/>
      <c r="B15" s="165" t="s">
        <v>113</v>
      </c>
      <c r="C15" s="166"/>
      <c r="D15" s="166"/>
      <c r="E15" s="167"/>
      <c r="F15" s="134">
        <f>SUM(F13:F14)</f>
        <v>254492.5154</v>
      </c>
    </row>
    <row r="16" spans="1:7" ht="12.75">
      <c r="C16" s="174"/>
      <c r="F16" s="175"/>
    </row>
    <row r="17" spans="1:6" ht="12.75"/>
    <row r="18" spans="1:6" ht="12.75"/>
    <row r="19" spans="1:6" ht="12.75"/>
    <row r="20" spans="1:6" ht="26.25">
      <c r="A20" s="176"/>
      <c r="B20" s="176"/>
      <c r="C20" s="176"/>
      <c r="D20" s="176"/>
      <c r="E20" s="176"/>
      <c r="F20" s="176"/>
    </row>
    <row r="21" spans="1:6" ht="12.75"/>
    <row r="22" spans="1:6" ht="12.75"/>
    <row r="23" spans="1:6" ht="12.75"/>
    <row r="24" spans="1:6" ht="12.75"/>
    <row r="25" spans="1:6" ht="12.75"/>
  </sheetData>
  <mergeCells count="3">
    <mergeCell ref="B1:F1"/>
    <mergeCell ref="B2:F2"/>
    <mergeCell ref="B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G21"/>
  <sheetViews>
    <sheetView workbookViewId="0">
      <selection activeCell="B3" sqref="B3:F3"/>
    </sheetView>
  </sheetViews>
  <sheetFormatPr defaultRowHeight="63.75" customHeight="1"/>
  <cols>
    <col min="1" max="1" width="7" style="115" customWidth="1"/>
    <col min="2" max="2" width="40.42578125" style="115" customWidth="1"/>
    <col min="3" max="3" width="8.5703125" style="115" bestFit="1" customWidth="1"/>
    <col min="4" max="4" width="7.140625" style="115" customWidth="1"/>
    <col min="5" max="5" width="9.28515625" style="115" customWidth="1"/>
    <col min="6" max="6" width="17.42578125" style="115" customWidth="1"/>
    <col min="7" max="16384" width="9.140625" style="115"/>
  </cols>
  <sheetData>
    <row r="1" spans="1:7" ht="22.5" customHeight="1">
      <c r="A1" s="120"/>
      <c r="B1" s="352" t="s">
        <v>0</v>
      </c>
      <c r="C1" s="352"/>
      <c r="D1" s="352"/>
      <c r="E1" s="352"/>
      <c r="F1" s="352"/>
      <c r="G1" s="120"/>
    </row>
    <row r="2" spans="1:7" ht="22.5" customHeight="1">
      <c r="A2" s="120"/>
      <c r="B2" s="377" t="s">
        <v>83</v>
      </c>
      <c r="C2" s="377"/>
      <c r="D2" s="377"/>
      <c r="E2" s="377"/>
      <c r="F2" s="377"/>
      <c r="G2" s="120"/>
    </row>
    <row r="3" spans="1:7" ht="31.5" customHeight="1">
      <c r="A3" s="116"/>
      <c r="B3" s="354" t="s">
        <v>141</v>
      </c>
      <c r="C3" s="354"/>
      <c r="D3" s="354"/>
      <c r="E3" s="354"/>
      <c r="F3" s="354"/>
      <c r="G3" s="117"/>
    </row>
    <row r="4" spans="1:7" ht="30" customHeight="1">
      <c r="A4" s="118" t="s">
        <v>39</v>
      </c>
      <c r="B4" s="118" t="s">
        <v>40</v>
      </c>
      <c r="C4" s="118" t="s">
        <v>41</v>
      </c>
      <c r="D4" s="118" t="s">
        <v>5</v>
      </c>
      <c r="E4" s="118" t="s">
        <v>42</v>
      </c>
      <c r="F4" s="119" t="s">
        <v>43</v>
      </c>
      <c r="G4" s="120"/>
    </row>
    <row r="5" spans="1:7" ht="38.25">
      <c r="A5" s="118" t="s">
        <v>142</v>
      </c>
      <c r="B5" s="121" t="s">
        <v>143</v>
      </c>
      <c r="C5" s="123">
        <f>[16]Sheet1!G8</f>
        <v>70.430000000000007</v>
      </c>
      <c r="D5" s="119" t="s">
        <v>61</v>
      </c>
      <c r="E5" s="160">
        <v>4961.7299999999996</v>
      </c>
      <c r="F5" s="123">
        <f>ROUND(C5*E5,0)</f>
        <v>349455</v>
      </c>
      <c r="G5" s="120"/>
    </row>
    <row r="6" spans="1:7" ht="38.25">
      <c r="A6" s="118" t="s">
        <v>133</v>
      </c>
      <c r="B6" s="121" t="s">
        <v>105</v>
      </c>
      <c r="C6" s="123"/>
      <c r="D6" s="119"/>
      <c r="E6" s="160"/>
      <c r="F6" s="123"/>
      <c r="G6" s="120"/>
    </row>
    <row r="7" spans="1:7" ht="25.5">
      <c r="A7" s="118"/>
      <c r="B7" s="121" t="s">
        <v>106</v>
      </c>
      <c r="C7" s="123">
        <f>[16]Sheet1!G13</f>
        <v>43.379999999999995</v>
      </c>
      <c r="D7" s="119" t="s">
        <v>45</v>
      </c>
      <c r="E7" s="160">
        <v>194.5</v>
      </c>
      <c r="F7" s="123">
        <f>ROUND(C7*E7,0)</f>
        <v>8437</v>
      </c>
      <c r="G7" s="120"/>
    </row>
    <row r="8" spans="1:7" ht="15.75" customHeight="1">
      <c r="A8" s="118">
        <v>3</v>
      </c>
      <c r="B8" s="127" t="s">
        <v>71</v>
      </c>
      <c r="C8" s="128"/>
      <c r="D8" s="128"/>
      <c r="E8" s="128"/>
      <c r="F8" s="129"/>
      <c r="G8" s="120"/>
    </row>
    <row r="9" spans="1:7" ht="17.25" customHeight="1">
      <c r="A9" s="130" t="s">
        <v>14</v>
      </c>
      <c r="B9" s="131" t="s">
        <v>144</v>
      </c>
      <c r="C9" s="128">
        <f>[16]Sheet2!E4</f>
        <v>30.23</v>
      </c>
      <c r="D9" s="132" t="s">
        <v>108</v>
      </c>
      <c r="E9" s="133">
        <v>819.06</v>
      </c>
      <c r="F9" s="134">
        <f>ROUND(C9*E9,0)</f>
        <v>24760</v>
      </c>
      <c r="G9" s="120"/>
    </row>
    <row r="10" spans="1:7" ht="22.5" customHeight="1">
      <c r="A10" s="135" t="s">
        <v>16</v>
      </c>
      <c r="B10" s="131" t="s">
        <v>145</v>
      </c>
      <c r="C10" s="128">
        <f>[16]Sheet2!F4</f>
        <v>60.46</v>
      </c>
      <c r="D10" s="132" t="s">
        <v>108</v>
      </c>
      <c r="E10" s="133">
        <v>413.7</v>
      </c>
      <c r="F10" s="134">
        <f>ROUNDUP(C10*E10,0)</f>
        <v>25013</v>
      </c>
      <c r="G10" s="120"/>
    </row>
    <row r="11" spans="1:7" ht="23.25" customHeight="1">
      <c r="A11" s="116"/>
      <c r="B11" s="348" t="s">
        <v>24</v>
      </c>
      <c r="C11" s="349"/>
      <c r="D11" s="349"/>
      <c r="E11" s="350"/>
      <c r="F11" s="134">
        <f>SUM(F5:F10)</f>
        <v>407665</v>
      </c>
    </row>
    <row r="12" spans="1:7" ht="16.5" customHeight="1">
      <c r="A12" s="116"/>
      <c r="B12" s="345" t="s">
        <v>129</v>
      </c>
      <c r="C12" s="346"/>
      <c r="D12" s="346"/>
      <c r="E12" s="347"/>
      <c r="F12" s="134">
        <f>F11*18%</f>
        <v>73379.7</v>
      </c>
    </row>
    <row r="13" spans="1:7" ht="21.75" customHeight="1">
      <c r="A13" s="116"/>
      <c r="B13" s="348" t="s">
        <v>113</v>
      </c>
      <c r="C13" s="349"/>
      <c r="D13" s="349"/>
      <c r="E13" s="350"/>
      <c r="F13" s="134">
        <f>SUM(F11:F12)</f>
        <v>481044.7</v>
      </c>
    </row>
    <row r="14" spans="1:7" ht="23.25" customHeight="1">
      <c r="A14" s="116"/>
      <c r="B14" s="345" t="s">
        <v>114</v>
      </c>
      <c r="C14" s="346"/>
      <c r="D14" s="346"/>
      <c r="E14" s="347"/>
      <c r="F14" s="134">
        <f>ROUND(F13*1/100,0)</f>
        <v>4810</v>
      </c>
    </row>
    <row r="15" spans="1:7" ht="23.25" customHeight="1">
      <c r="A15" s="116"/>
      <c r="B15" s="348" t="s">
        <v>113</v>
      </c>
      <c r="C15" s="349"/>
      <c r="D15" s="349"/>
      <c r="E15" s="350"/>
      <c r="F15" s="134">
        <f>SUM(F13:F14)</f>
        <v>485854.7</v>
      </c>
    </row>
    <row r="16" spans="1:7" ht="63.75" customHeight="1">
      <c r="F16" s="115" t="s">
        <v>146</v>
      </c>
    </row>
    <row r="17" spans="1:6" ht="63.75" customHeight="1">
      <c r="C17" s="174"/>
    </row>
    <row r="21" spans="1:6" ht="63.75" customHeight="1">
      <c r="A21" s="351"/>
      <c r="B21" s="351"/>
      <c r="C21" s="351"/>
      <c r="D21" s="351"/>
      <c r="E21" s="351"/>
      <c r="F21" s="351"/>
    </row>
  </sheetData>
  <mergeCells count="9">
    <mergeCell ref="A21:F21"/>
    <mergeCell ref="B1:F1"/>
    <mergeCell ref="B2:F2"/>
    <mergeCell ref="B3:F3"/>
    <mergeCell ref="B11:E11"/>
    <mergeCell ref="B12:E12"/>
    <mergeCell ref="B13:E13"/>
    <mergeCell ref="B14:E14"/>
    <mergeCell ref="B15:E1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1"/>
  <sheetViews>
    <sheetView workbookViewId="0">
      <selection activeCell="C4" sqref="C4"/>
    </sheetView>
  </sheetViews>
  <sheetFormatPr defaultColWidth="9.140625" defaultRowHeight="15"/>
  <cols>
    <col min="1" max="1" width="9.28515625" style="88" bestFit="1" customWidth="1"/>
    <col min="2" max="2" width="42.28515625" style="89" customWidth="1"/>
    <col min="3" max="3" width="9.140625" style="75" customWidth="1"/>
    <col min="4" max="4" width="9.140625" style="90"/>
    <col min="5" max="5" width="11.28515625" style="91" bestFit="1" customWidth="1"/>
    <col min="6" max="6" width="16.42578125" style="91" customWidth="1"/>
    <col min="7" max="16384" width="9.140625" style="75"/>
  </cols>
  <sheetData>
    <row r="1" spans="1:6" ht="60.75" customHeight="1">
      <c r="A1" s="305" t="s">
        <v>0</v>
      </c>
      <c r="B1" s="305"/>
      <c r="C1" s="305"/>
      <c r="D1" s="305"/>
      <c r="E1" s="305"/>
      <c r="F1" s="305"/>
    </row>
    <row r="2" spans="1:6" ht="18.75">
      <c r="A2" s="306" t="s">
        <v>38</v>
      </c>
      <c r="B2" s="306"/>
      <c r="C2" s="306"/>
      <c r="D2" s="306"/>
      <c r="E2" s="306"/>
      <c r="F2" s="306"/>
    </row>
    <row r="3" spans="1:6" ht="55.5" customHeight="1">
      <c r="A3" s="310" t="str">
        <f>[2]Sheet1!A3</f>
        <v>Name of Work :- Construction of PCC Road at Gadigaon,Pahantoli from house of Kunwar Runda to house of Surendra Kujur under ward no-07</v>
      </c>
      <c r="B3" s="310"/>
      <c r="C3" s="310"/>
      <c r="D3" s="310"/>
      <c r="E3" s="310"/>
      <c r="F3" s="310"/>
    </row>
    <row r="4" spans="1:6">
      <c r="A4" s="76" t="s">
        <v>39</v>
      </c>
      <c r="B4" s="76" t="s">
        <v>40</v>
      </c>
      <c r="C4" s="76" t="s">
        <v>41</v>
      </c>
      <c r="D4" s="76" t="s">
        <v>5</v>
      </c>
      <c r="E4" s="77" t="s">
        <v>42</v>
      </c>
      <c r="F4" s="77" t="s">
        <v>43</v>
      </c>
    </row>
    <row r="5" spans="1:6" ht="120">
      <c r="A5" s="78" t="str">
        <f>[2]Sheet1!A5</f>
        <v>1.            5.1.1</v>
      </c>
      <c r="B5" s="79" t="str">
        <f>[2]Sheet1!B5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80">
        <f>[2]Sheet1!G8</f>
        <v>61.21</v>
      </c>
      <c r="D5" s="81" t="str">
        <f>D6</f>
        <v>M3</v>
      </c>
      <c r="E5" s="82">
        <f>[2]Sheet1!I8</f>
        <v>151.82</v>
      </c>
      <c r="F5" s="82">
        <f>ROUND((C5*E5),2)</f>
        <v>9292.9</v>
      </c>
    </row>
    <row r="6" spans="1:6" ht="120">
      <c r="A6" s="78" t="str">
        <f>[2]Sheet1!A9</f>
        <v>2  4/M004</v>
      </c>
      <c r="B6" s="79" t="str">
        <f>[2]Sheet1!B9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80">
        <f>[2]Sheet1!G12</f>
        <v>17.18</v>
      </c>
      <c r="D6" s="81" t="s">
        <v>44</v>
      </c>
      <c r="E6" s="82">
        <f>[2]Sheet1!I12</f>
        <v>347.85</v>
      </c>
      <c r="F6" s="82">
        <f t="shared" ref="F6:F15" si="0">ROUND((C6*E6),2)</f>
        <v>5976.06</v>
      </c>
    </row>
    <row r="7" spans="1:6" ht="90">
      <c r="A7" s="78" t="str">
        <f>[2]Sheet1!A13</f>
        <v>3 5.6.8WRD</v>
      </c>
      <c r="B7" s="79" t="str">
        <f>[2]Sheet1!B13</f>
        <v>Supplying and laying (properly as per design and drawing) rip-rap with good  quality of boulders duly packed including the cost of materials, royalty all taxes etc. but excluding the cost of carriage all complete as per specification and direction of E/I.</v>
      </c>
      <c r="C7" s="80">
        <f>[2]Sheet1!G16</f>
        <v>44.03</v>
      </c>
      <c r="D7" s="81" t="s">
        <v>44</v>
      </c>
      <c r="E7" s="82">
        <f>[2]Sheet1!I16</f>
        <v>1756.4</v>
      </c>
      <c r="F7" s="82">
        <f t="shared" si="0"/>
        <v>77334.289999999994</v>
      </c>
    </row>
    <row r="8" spans="1:6" ht="90">
      <c r="A8" s="78" t="str">
        <f>[2]Sheet1!A17</f>
        <v>4 5.3.1.1</v>
      </c>
      <c r="B8" s="79" t="str">
        <f>[2]Sheet1!B17</f>
        <v>Providing and laying in position cement concrete of specified grade excluding the cost of centering and shuttering - All work up to plinth level1:1.5:3 (1 Cement : 1.5 coarse sand zone(III): 3 graded stone aggregate 20mm nominal size)</v>
      </c>
      <c r="C8" s="80">
        <f>[2]Sheet1!G20</f>
        <v>53.7</v>
      </c>
      <c r="D8" s="81" t="s">
        <v>44</v>
      </c>
      <c r="E8" s="82">
        <f>[2]Sheet1!I20</f>
        <v>4961.7299999999996</v>
      </c>
      <c r="F8" s="82">
        <f t="shared" si="0"/>
        <v>266444.90000000002</v>
      </c>
    </row>
    <row r="9" spans="1:6" ht="60">
      <c r="A9" s="78" t="str">
        <f>[2]Sheet1!A21</f>
        <v>55.3.17.1</v>
      </c>
      <c r="B9" s="79" t="str">
        <f>[2]Sheet1!B21</f>
        <v>Centering and Shuttering including strutting, propping etc and removal of from for   Foundation , footing , bases of columns etc for mass concrete.</v>
      </c>
      <c r="C9" s="80">
        <f>[2]Sheet1!G24</f>
        <v>29.37</v>
      </c>
      <c r="D9" s="81" t="s">
        <v>45</v>
      </c>
      <c r="E9" s="82">
        <f>[2]Sheet1!I24</f>
        <v>194.5</v>
      </c>
      <c r="F9" s="82">
        <f t="shared" si="0"/>
        <v>5712.47</v>
      </c>
    </row>
    <row r="10" spans="1:6">
      <c r="A10" s="83">
        <v>6</v>
      </c>
      <c r="B10" s="84" t="s">
        <v>46</v>
      </c>
      <c r="C10" s="85"/>
      <c r="D10" s="81"/>
      <c r="E10" s="82"/>
      <c r="F10" s="82"/>
    </row>
    <row r="11" spans="1:6">
      <c r="A11" s="86" t="s">
        <v>14</v>
      </c>
      <c r="B11" s="87" t="s">
        <v>47</v>
      </c>
      <c r="C11" s="80">
        <f>[2]Sheet1!G26</f>
        <v>23.09</v>
      </c>
      <c r="D11" s="81" t="s">
        <v>44</v>
      </c>
      <c r="E11" s="92">
        <f>[2]Sheet1!I26</f>
        <v>848.82</v>
      </c>
      <c r="F11" s="82">
        <f t="shared" si="0"/>
        <v>19599.25</v>
      </c>
    </row>
    <row r="12" spans="1:6">
      <c r="A12" s="86" t="s">
        <v>16</v>
      </c>
      <c r="B12" s="87" t="str">
        <f>[2]Sheet1!B27</f>
        <v>Stone Dust (Lead 22 KM)</v>
      </c>
      <c r="C12" s="79">
        <f>[2]Sheet1!G27</f>
        <v>17.18</v>
      </c>
      <c r="D12" s="81" t="s">
        <v>44</v>
      </c>
      <c r="E12" s="92">
        <f>[2]Sheet1!I27</f>
        <v>447.06</v>
      </c>
      <c r="F12" s="82">
        <f t="shared" si="0"/>
        <v>7680.49</v>
      </c>
    </row>
    <row r="13" spans="1:6">
      <c r="A13" s="86" t="s">
        <v>18</v>
      </c>
      <c r="B13" s="87" t="s">
        <v>49</v>
      </c>
      <c r="C13" s="80">
        <f>[2]Sheet1!G28</f>
        <v>44.03</v>
      </c>
      <c r="D13" s="81" t="s">
        <v>44</v>
      </c>
      <c r="E13" s="92">
        <f>[2]Sheet1!I28</f>
        <v>679.66</v>
      </c>
      <c r="F13" s="82">
        <f t="shared" si="0"/>
        <v>29925.43</v>
      </c>
    </row>
    <row r="14" spans="1:6">
      <c r="A14" s="86" t="s">
        <v>20</v>
      </c>
      <c r="B14" s="87" t="s">
        <v>50</v>
      </c>
      <c r="C14" s="80">
        <f>[2]Sheet1!G29</f>
        <v>46.18</v>
      </c>
      <c r="D14" s="81" t="s">
        <v>44</v>
      </c>
      <c r="E14" s="92">
        <f>[2]Sheet1!I29</f>
        <v>447.06</v>
      </c>
      <c r="F14" s="82">
        <f t="shared" si="0"/>
        <v>20645.23</v>
      </c>
    </row>
    <row r="15" spans="1:6">
      <c r="A15" s="86" t="s">
        <v>22</v>
      </c>
      <c r="B15" s="87" t="s">
        <v>51</v>
      </c>
      <c r="C15" s="79">
        <f>[2]Sheet1!G30</f>
        <v>61.21</v>
      </c>
      <c r="D15" s="81" t="s">
        <v>44</v>
      </c>
      <c r="E15" s="92">
        <f>[2]Sheet1!I30</f>
        <v>117.54</v>
      </c>
      <c r="F15" s="82">
        <f t="shared" si="0"/>
        <v>7194.62</v>
      </c>
    </row>
    <row r="16" spans="1:6" ht="18.75">
      <c r="A16" s="83"/>
      <c r="B16" s="84"/>
      <c r="C16" s="85"/>
      <c r="D16" s="81"/>
      <c r="E16" s="82" t="s">
        <v>52</v>
      </c>
      <c r="F16" s="44">
        <f>SUM(F5:F15)</f>
        <v>449805.63999999996</v>
      </c>
    </row>
    <row r="17" spans="1:6" ht="18.75">
      <c r="A17" s="304" t="s">
        <v>53</v>
      </c>
      <c r="B17" s="304"/>
      <c r="C17" s="304"/>
      <c r="D17" s="304"/>
      <c r="E17" s="304"/>
      <c r="F17" s="44">
        <f>ROUND((F16*18%),2)</f>
        <v>80965.02</v>
      </c>
    </row>
    <row r="18" spans="1:6" ht="18.75">
      <c r="A18" s="304" t="s">
        <v>24</v>
      </c>
      <c r="B18" s="304" t="s">
        <v>24</v>
      </c>
      <c r="C18" s="304"/>
      <c r="D18" s="304"/>
      <c r="E18" s="304"/>
      <c r="F18" s="44">
        <f>F16+F17</f>
        <v>530770.65999999992</v>
      </c>
    </row>
    <row r="19" spans="1:6" ht="18.75">
      <c r="A19" s="304" t="s">
        <v>54</v>
      </c>
      <c r="B19" s="304" t="s">
        <v>55</v>
      </c>
      <c r="C19" s="304"/>
      <c r="D19" s="304"/>
      <c r="E19" s="304"/>
      <c r="F19" s="44">
        <f>ROUND((F18*1%),2)</f>
        <v>5307.71</v>
      </c>
    </row>
    <row r="20" spans="1:6" ht="18.75">
      <c r="A20" s="304" t="s">
        <v>24</v>
      </c>
      <c r="B20" s="304" t="s">
        <v>24</v>
      </c>
      <c r="C20" s="304"/>
      <c r="D20" s="304"/>
      <c r="E20" s="304"/>
      <c r="F20" s="44">
        <f>F18+F19</f>
        <v>536078.36999999988</v>
      </c>
    </row>
    <row r="21" spans="1:6" ht="18.75">
      <c r="A21" s="304" t="s">
        <v>27</v>
      </c>
      <c r="B21" s="304" t="s">
        <v>27</v>
      </c>
      <c r="C21" s="304"/>
      <c r="D21" s="304"/>
      <c r="E21" s="304"/>
      <c r="F21" s="44">
        <f>ROUND((F20),0)</f>
        <v>536078</v>
      </c>
    </row>
  </sheetData>
  <mergeCells count="8">
    <mergeCell ref="A20:E20"/>
    <mergeCell ref="A21:E21"/>
    <mergeCell ref="A1:F1"/>
    <mergeCell ref="A2:F2"/>
    <mergeCell ref="A3:F3"/>
    <mergeCell ref="A17:E17"/>
    <mergeCell ref="A18:E18"/>
    <mergeCell ref="A19:E1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F20"/>
  <sheetViews>
    <sheetView workbookViewId="0">
      <selection activeCell="I5" sqref="I5"/>
    </sheetView>
  </sheetViews>
  <sheetFormatPr defaultRowHeight="63.75" customHeight="1"/>
  <cols>
    <col min="1" max="1" width="6.140625" style="115" customWidth="1"/>
    <col min="2" max="2" width="44.140625" style="115" customWidth="1"/>
    <col min="3" max="3" width="9.7109375" style="115" bestFit="1" customWidth="1"/>
    <col min="4" max="4" width="5.28515625" style="115" customWidth="1"/>
    <col min="5" max="5" width="10.42578125" style="115" customWidth="1"/>
    <col min="6" max="6" width="17" style="115" customWidth="1"/>
    <col min="7" max="16384" width="9.140625" style="115"/>
  </cols>
  <sheetData>
    <row r="1" spans="1:6" ht="22.5" customHeight="1">
      <c r="A1" s="120"/>
      <c r="B1" s="352" t="s">
        <v>0</v>
      </c>
      <c r="C1" s="352"/>
      <c r="D1" s="352"/>
      <c r="E1" s="352"/>
      <c r="F1" s="352"/>
    </row>
    <row r="2" spans="1:6" ht="22.5" customHeight="1">
      <c r="A2" s="120"/>
      <c r="B2" s="375" t="s">
        <v>83</v>
      </c>
      <c r="C2" s="375"/>
      <c r="D2" s="375"/>
      <c r="E2" s="375"/>
      <c r="F2" s="375"/>
    </row>
    <row r="3" spans="1:6" ht="31.5" customHeight="1">
      <c r="A3" s="116"/>
      <c r="B3" s="378" t="s">
        <v>147</v>
      </c>
      <c r="C3" s="379"/>
      <c r="D3" s="379"/>
      <c r="E3" s="379"/>
      <c r="F3" s="379"/>
    </row>
    <row r="4" spans="1:6" ht="30" customHeight="1">
      <c r="A4" s="118" t="s">
        <v>39</v>
      </c>
      <c r="B4" s="118" t="s">
        <v>40</v>
      </c>
      <c r="C4" s="118" t="s">
        <v>41</v>
      </c>
      <c r="D4" s="118" t="s">
        <v>5</v>
      </c>
      <c r="E4" s="118" t="s">
        <v>42</v>
      </c>
      <c r="F4" s="119" t="s">
        <v>43</v>
      </c>
    </row>
    <row r="5" spans="1:6" ht="114.75" customHeight="1">
      <c r="A5" s="118" t="s">
        <v>137</v>
      </c>
      <c r="B5" s="121" t="s">
        <v>103</v>
      </c>
      <c r="C5" s="123">
        <f>[17]Sheet1!G8</f>
        <v>33.989999999999995</v>
      </c>
      <c r="D5" s="122" t="s">
        <v>61</v>
      </c>
      <c r="E5" s="160">
        <v>4961.7299999999996</v>
      </c>
      <c r="F5" s="123">
        <f>ROUND(C5*E5,0)</f>
        <v>168649</v>
      </c>
    </row>
    <row r="6" spans="1:6" ht="38.25">
      <c r="A6" s="118" t="s">
        <v>133</v>
      </c>
      <c r="B6" s="121" t="s">
        <v>105</v>
      </c>
      <c r="C6" s="160"/>
      <c r="D6" s="119"/>
      <c r="E6" s="160"/>
      <c r="F6" s="123"/>
    </row>
    <row r="7" spans="1:6" ht="25.5">
      <c r="A7" s="118"/>
      <c r="B7" s="121" t="s">
        <v>106</v>
      </c>
      <c r="C7" s="123">
        <f>[17]Sheet1!G13</f>
        <v>22.310000000000002</v>
      </c>
      <c r="D7" s="119" t="s">
        <v>45</v>
      </c>
      <c r="E7" s="160">
        <v>194.5</v>
      </c>
      <c r="F7" s="123">
        <f>ROUND(C7*E7,0)</f>
        <v>4339</v>
      </c>
    </row>
    <row r="8" spans="1:6" ht="15.75" customHeight="1">
      <c r="A8" s="118">
        <v>3</v>
      </c>
      <c r="B8" s="127" t="s">
        <v>71</v>
      </c>
      <c r="C8" s="119"/>
      <c r="D8" s="119"/>
      <c r="E8" s="119"/>
      <c r="F8" s="122"/>
    </row>
    <row r="9" spans="1:6" ht="17.25" customHeight="1">
      <c r="A9" s="130" t="s">
        <v>14</v>
      </c>
      <c r="B9" s="131" t="s">
        <v>47</v>
      </c>
      <c r="C9" s="160">
        <f>[17]Sheet1!G15</f>
        <v>14.6</v>
      </c>
      <c r="D9" s="161" t="s">
        <v>108</v>
      </c>
      <c r="E9" s="85">
        <v>819.06</v>
      </c>
      <c r="F9" s="123">
        <f>ROUND(C9*E9,0)</f>
        <v>11958</v>
      </c>
    </row>
    <row r="10" spans="1:6" ht="22.5" customHeight="1">
      <c r="A10" s="135" t="s">
        <v>16</v>
      </c>
      <c r="B10" s="131" t="s">
        <v>138</v>
      </c>
      <c r="C10" s="160">
        <f>[17]Sheet1!G16</f>
        <v>29.2</v>
      </c>
      <c r="D10" s="161" t="s">
        <v>108</v>
      </c>
      <c r="E10" s="80">
        <v>417.3</v>
      </c>
      <c r="F10" s="123">
        <f>ROUNDUP(C10*E10,0)</f>
        <v>12186</v>
      </c>
    </row>
    <row r="11" spans="1:6" ht="22.5" customHeight="1">
      <c r="A11" s="116"/>
      <c r="B11" s="348" t="s">
        <v>24</v>
      </c>
      <c r="C11" s="349"/>
      <c r="D11" s="349"/>
      <c r="E11" s="350"/>
      <c r="F11" s="134">
        <f>SUM(F5:F10)</f>
        <v>197132</v>
      </c>
    </row>
    <row r="12" spans="1:6" ht="22.5" customHeight="1">
      <c r="A12" s="116"/>
      <c r="B12" s="345" t="s">
        <v>139</v>
      </c>
      <c r="C12" s="346"/>
      <c r="D12" s="346"/>
      <c r="E12" s="347"/>
      <c r="F12" s="134">
        <f>F11*18%</f>
        <v>35483.760000000002</v>
      </c>
    </row>
    <row r="13" spans="1:6" ht="22.5" customHeight="1">
      <c r="A13" s="116"/>
      <c r="B13" s="348" t="s">
        <v>113</v>
      </c>
      <c r="C13" s="349"/>
      <c r="D13" s="349"/>
      <c r="E13" s="350"/>
      <c r="F13" s="134">
        <f>SUM(F11:F12)</f>
        <v>232615.76</v>
      </c>
    </row>
    <row r="14" spans="1:6" ht="23.25" customHeight="1">
      <c r="A14" s="116"/>
      <c r="B14" s="345" t="s">
        <v>114</v>
      </c>
      <c r="C14" s="346"/>
      <c r="D14" s="346"/>
      <c r="E14" s="347"/>
      <c r="F14" s="134">
        <f>ROUND(F13*1/100,0)</f>
        <v>2326</v>
      </c>
    </row>
    <row r="15" spans="1:6" ht="27" customHeight="1">
      <c r="A15" s="116"/>
      <c r="B15" s="348" t="s">
        <v>113</v>
      </c>
      <c r="C15" s="349"/>
      <c r="D15" s="349"/>
      <c r="E15" s="350"/>
      <c r="F15" s="134">
        <f>SUM(F13:F14)</f>
        <v>234941.76</v>
      </c>
    </row>
    <row r="16" spans="1:6" ht="12.75">
      <c r="C16" s="174"/>
      <c r="F16" s="175"/>
    </row>
    <row r="17" spans="1:6" ht="12.75"/>
    <row r="18" spans="1:6" ht="12.75"/>
    <row r="19" spans="1:6" ht="12.75"/>
    <row r="20" spans="1:6" ht="26.25">
      <c r="A20" s="176"/>
      <c r="B20" s="176"/>
      <c r="C20" s="176"/>
      <c r="D20" s="176"/>
      <c r="E20" s="176"/>
      <c r="F20" s="176"/>
    </row>
  </sheetData>
  <mergeCells count="8">
    <mergeCell ref="B14:E14"/>
    <mergeCell ref="B15:E15"/>
    <mergeCell ref="B1:F1"/>
    <mergeCell ref="B2:F2"/>
    <mergeCell ref="B3:F3"/>
    <mergeCell ref="B11:E11"/>
    <mergeCell ref="B12:E12"/>
    <mergeCell ref="B13:E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2"/>
  <sheetViews>
    <sheetView topLeftCell="A7" workbookViewId="0">
      <selection activeCell="C9" sqref="C9"/>
    </sheetView>
  </sheetViews>
  <sheetFormatPr defaultRowHeight="15"/>
  <cols>
    <col min="2" max="2" width="51.42578125" customWidth="1"/>
    <col min="5" max="5" width="9" bestFit="1" customWidth="1"/>
    <col min="6" max="6" width="17" style="29" customWidth="1"/>
  </cols>
  <sheetData>
    <row r="1" spans="1:6" ht="25.5">
      <c r="A1" s="316" t="s">
        <v>0</v>
      </c>
      <c r="B1" s="317"/>
      <c r="C1" s="317"/>
      <c r="D1" s="317"/>
      <c r="E1" s="317"/>
      <c r="F1" s="318"/>
    </row>
    <row r="2" spans="1:6" ht="18" customHeight="1">
      <c r="A2" s="382" t="s">
        <v>1</v>
      </c>
      <c r="B2" s="383"/>
      <c r="C2" s="383"/>
      <c r="D2" s="383"/>
      <c r="E2" s="383"/>
      <c r="F2" s="384"/>
    </row>
    <row r="3" spans="1:6" ht="32.450000000000003" customHeight="1">
      <c r="A3" s="360" t="s">
        <v>298</v>
      </c>
      <c r="B3" s="361"/>
      <c r="C3" s="361"/>
      <c r="D3" s="361"/>
      <c r="E3" s="361"/>
      <c r="F3" s="376"/>
    </row>
    <row r="4" spans="1:6" ht="31.5">
      <c r="A4" s="30" t="s">
        <v>2</v>
      </c>
      <c r="B4" s="31" t="s">
        <v>3</v>
      </c>
      <c r="C4" s="31" t="s">
        <v>4</v>
      </c>
      <c r="D4" s="31" t="s">
        <v>5</v>
      </c>
      <c r="E4" s="30" t="s">
        <v>6</v>
      </c>
      <c r="F4" s="32" t="s">
        <v>7</v>
      </c>
    </row>
    <row r="5" spans="1:6" ht="22.5" customHeight="1">
      <c r="A5" s="30">
        <f>[18]ESTIMATE!A4</f>
        <v>1</v>
      </c>
      <c r="B5" s="33" t="str">
        <f>[18]ESTIMATE!B4</f>
        <v>Labour for site clearence before and after the work etc.</v>
      </c>
      <c r="C5" s="34">
        <f>[18]ESTIMATE!G4</f>
        <v>9</v>
      </c>
      <c r="D5" s="35" t="s">
        <v>8</v>
      </c>
      <c r="E5" s="34">
        <f>[18]ESTIMATE!I4</f>
        <v>326.85000000000002</v>
      </c>
      <c r="F5" s="36">
        <f t="shared" ref="F5:F7" si="0">ROUND(C5*E5,2)</f>
        <v>2941.65</v>
      </c>
    </row>
    <row r="6" spans="1:6" ht="82.5" customHeight="1">
      <c r="A6" s="30" t="str">
        <f>[18]ESTIMATE!A5</f>
        <v>2.     5.3.1.1</v>
      </c>
      <c r="B6" s="37" t="str">
        <f>[18]ESTIMATE!B5</f>
        <v xml:space="preserve">Providing and laying in position cement concrete of specified grade excluding the cost of centering and shuttering- All work upto plinth level : 1:1½:3 (1 cemet : 1½ coarse sand (zone-iii) : 3 graded stone aggregate 20mm nominal size )  </v>
      </c>
      <c r="C6" s="34">
        <f>[18]ESTIMATE!G8</f>
        <v>57.77</v>
      </c>
      <c r="D6" s="35" t="s">
        <v>8</v>
      </c>
      <c r="E6" s="34">
        <f>[18]ESTIMATE!I8</f>
        <v>4961.7299999999996</v>
      </c>
      <c r="F6" s="36">
        <f t="shared" si="0"/>
        <v>286639.14</v>
      </c>
    </row>
    <row r="7" spans="1:6" ht="63">
      <c r="A7" s="38" t="str">
        <f>[18]ESTIMATE!A9</f>
        <v>3                 5.3.17.1</v>
      </c>
      <c r="B7" s="37" t="str">
        <f>[18]ESTIMATE!B9</f>
        <v>Centering and shuttering including strutting, propping etc. and removal of from for Foundations,footings, bases of columns, etc. for mass concrete.</v>
      </c>
      <c r="C7" s="34">
        <f>[18]ESTIMATE!G12</f>
        <v>31.6</v>
      </c>
      <c r="D7" s="39" t="s">
        <v>12</v>
      </c>
      <c r="E7" s="30">
        <f>[18]ESTIMATE!I12</f>
        <v>194.5</v>
      </c>
      <c r="F7" s="32">
        <f t="shared" si="0"/>
        <v>6146.2</v>
      </c>
    </row>
    <row r="8" spans="1:6" ht="15.75">
      <c r="A8" s="30">
        <f>[18]ESTIMATE!A13</f>
        <v>4</v>
      </c>
      <c r="B8" s="40" t="s">
        <v>13</v>
      </c>
      <c r="C8" s="35"/>
      <c r="D8" s="41"/>
      <c r="E8" s="42"/>
      <c r="F8" s="36"/>
    </row>
    <row r="9" spans="1:6" ht="15.75">
      <c r="A9" s="13" t="s">
        <v>14</v>
      </c>
      <c r="B9" s="14" t="s">
        <v>33</v>
      </c>
      <c r="C9" s="35">
        <f>[18]ESTIMATE!G14</f>
        <v>24.84</v>
      </c>
      <c r="D9" s="41" t="s">
        <v>8</v>
      </c>
      <c r="E9" s="1">
        <f>[18]ESTIMATE!I14</f>
        <v>819.06</v>
      </c>
      <c r="F9" s="36">
        <f t="shared" ref="F9:F10" si="1">ROUND(C9*E9,2)</f>
        <v>20345.45</v>
      </c>
    </row>
    <row r="10" spans="1:6" ht="15.75">
      <c r="A10" s="13" t="s">
        <v>16</v>
      </c>
      <c r="B10" s="15" t="s">
        <v>34</v>
      </c>
      <c r="C10" s="35">
        <f>[18]ESTIMATE!G15</f>
        <v>49.68</v>
      </c>
      <c r="D10" s="41" t="s">
        <v>8</v>
      </c>
      <c r="E10" s="16">
        <f>[18]ESTIMATE!I15</f>
        <v>417.3</v>
      </c>
      <c r="F10" s="36">
        <f t="shared" si="1"/>
        <v>20731.46</v>
      </c>
    </row>
    <row r="11" spans="1:6" ht="15.75">
      <c r="A11" s="43"/>
      <c r="B11" s="43"/>
      <c r="C11" s="380" t="s">
        <v>24</v>
      </c>
      <c r="D11" s="380"/>
      <c r="E11" s="381"/>
      <c r="F11" s="36">
        <f>SUM(F5:F10)</f>
        <v>336803.90000000008</v>
      </c>
    </row>
    <row r="12" spans="1:6" ht="15.75">
      <c r="A12" s="43"/>
      <c r="B12" s="43"/>
      <c r="C12" s="385" t="s">
        <v>25</v>
      </c>
      <c r="D12" s="380"/>
      <c r="E12" s="381"/>
      <c r="F12" s="36">
        <f>F11*18%</f>
        <v>60624.702000000012</v>
      </c>
    </row>
    <row r="13" spans="1:6" ht="15.75">
      <c r="A13" s="43"/>
      <c r="B13" s="43"/>
      <c r="C13" s="385" t="s">
        <v>24</v>
      </c>
      <c r="D13" s="380"/>
      <c r="E13" s="381"/>
      <c r="F13" s="36">
        <f>SUM(F11:F12)</f>
        <v>397428.60200000007</v>
      </c>
    </row>
    <row r="14" spans="1:6" ht="15.75">
      <c r="A14" s="43"/>
      <c r="B14" s="43"/>
      <c r="C14" s="380" t="s">
        <v>35</v>
      </c>
      <c r="D14" s="380"/>
      <c r="E14" s="381"/>
      <c r="F14" s="36">
        <f>ROUND(F13*0.01,2)</f>
        <v>3974.29</v>
      </c>
    </row>
    <row r="15" spans="1:6" ht="15.75">
      <c r="A15" s="43"/>
      <c r="B15" s="43"/>
      <c r="C15" s="380" t="s">
        <v>24</v>
      </c>
      <c r="D15" s="380"/>
      <c r="E15" s="381"/>
      <c r="F15" s="36">
        <f>SUM(F13:F14)</f>
        <v>401402.89200000005</v>
      </c>
    </row>
    <row r="16" spans="1:6" ht="18.75">
      <c r="A16" s="43"/>
      <c r="B16" s="43"/>
      <c r="C16" s="380" t="s">
        <v>27</v>
      </c>
      <c r="D16" s="380"/>
      <c r="E16" s="381"/>
      <c r="F16" s="44">
        <v>401403</v>
      </c>
    </row>
    <row r="17" spans="1:6" ht="18.75">
      <c r="A17" s="45"/>
      <c r="B17" s="45"/>
      <c r="C17" s="46"/>
      <c r="D17" s="46"/>
      <c r="E17" s="46"/>
      <c r="F17" s="47"/>
    </row>
    <row r="18" spans="1:6" ht="18.75">
      <c r="A18" s="45"/>
      <c r="B18" s="45"/>
      <c r="C18" s="46"/>
      <c r="D18" s="46"/>
      <c r="E18" s="46"/>
      <c r="F18" s="47"/>
    </row>
    <row r="19" spans="1:6">
      <c r="A19" s="48"/>
    </row>
    <row r="20" spans="1:6">
      <c r="A20" s="48"/>
    </row>
    <row r="21" spans="1:6" ht="18.75">
      <c r="A21" s="48"/>
      <c r="B21" s="49" t="s">
        <v>28</v>
      </c>
      <c r="C21" s="50" t="s">
        <v>29</v>
      </c>
      <c r="F21" s="51" t="s">
        <v>30</v>
      </c>
    </row>
    <row r="22" spans="1:6" ht="18.75">
      <c r="A22" s="48"/>
      <c r="B22" s="49" t="s">
        <v>31</v>
      </c>
      <c r="C22" s="50" t="s">
        <v>32</v>
      </c>
      <c r="F22" s="51" t="s">
        <v>31</v>
      </c>
    </row>
  </sheetData>
  <mergeCells count="9">
    <mergeCell ref="C14:E14"/>
    <mergeCell ref="C15:E15"/>
    <mergeCell ref="C16:E16"/>
    <mergeCell ref="A1:F1"/>
    <mergeCell ref="A2:F2"/>
    <mergeCell ref="A3:F3"/>
    <mergeCell ref="C11:E11"/>
    <mergeCell ref="C12:E12"/>
    <mergeCell ref="C13:E1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8.85546875" bestFit="1" customWidth="1"/>
    <col min="2" max="2" width="51.42578125" customWidth="1"/>
    <col min="3" max="3" width="9" bestFit="1" customWidth="1"/>
    <col min="5" max="5" width="10.42578125" bestFit="1" customWidth="1"/>
    <col min="6" max="6" width="17.28515625" style="74" bestFit="1" customWidth="1"/>
  </cols>
  <sheetData>
    <row r="1" spans="1:6" ht="25.5">
      <c r="A1" s="316" t="s">
        <v>0</v>
      </c>
      <c r="B1" s="317"/>
      <c r="C1" s="317"/>
      <c r="D1" s="317"/>
      <c r="E1" s="317"/>
      <c r="F1" s="318"/>
    </row>
    <row r="2" spans="1:6" ht="18" customHeight="1">
      <c r="A2" s="388" t="s">
        <v>1</v>
      </c>
      <c r="B2" s="389"/>
      <c r="C2" s="389"/>
      <c r="D2" s="389"/>
      <c r="E2" s="389"/>
      <c r="F2" s="390"/>
    </row>
    <row r="3" spans="1:6" ht="32.450000000000003" customHeight="1">
      <c r="A3" s="391" t="str">
        <f>[19]ESTIMATE!A2</f>
        <v>Name of Work :-CONSTRUCTION OF PCC ROAD FROM Md. TANVIR HOUSE TO IRGU TOLI, MASZID  UNDER WARD NO-29</v>
      </c>
      <c r="B3" s="392"/>
      <c r="C3" s="392"/>
      <c r="D3" s="392"/>
      <c r="E3" s="392"/>
      <c r="F3" s="393"/>
    </row>
    <row r="4" spans="1:6" ht="30">
      <c r="A4" s="52" t="s">
        <v>2</v>
      </c>
      <c r="B4" s="53" t="s">
        <v>3</v>
      </c>
      <c r="C4" s="53" t="s">
        <v>4</v>
      </c>
      <c r="D4" s="53" t="s">
        <v>5</v>
      </c>
      <c r="E4" s="52" t="s">
        <v>6</v>
      </c>
      <c r="F4" s="3" t="s">
        <v>7</v>
      </c>
    </row>
    <row r="5" spans="1:6">
      <c r="A5" s="52">
        <f>[19]ESTIMATE!A4</f>
        <v>1</v>
      </c>
      <c r="B5" s="54" t="str">
        <f>[19]ESTIMATE!B4</f>
        <v>Labour for site clearence before and after the work etc.</v>
      </c>
      <c r="C5" s="55">
        <v>3</v>
      </c>
      <c r="D5" s="56" t="s">
        <v>8</v>
      </c>
      <c r="E5" s="55">
        <f>[19]ESTIMATE!I4</f>
        <v>326.85000000000002</v>
      </c>
      <c r="F5" s="7">
        <f t="shared" ref="F5:F7" si="0">ROUND(C5*E5,2)</f>
        <v>980.55</v>
      </c>
    </row>
    <row r="6" spans="1:6" ht="51">
      <c r="A6" s="52" t="str">
        <f>[19]ESTIMATE!A5</f>
        <v>2.     5.3.1.1</v>
      </c>
      <c r="B6" s="57" t="str">
        <f>[19]ESTIMATE!B5</f>
        <v xml:space="preserve">Providing and laying in position concrete of specified grade excluding the cost of centering and shuttering- All work upto plinth level : 1:1½:3 (1 cemet : 1½ coarse sand (zone-iii) : 3 graded stone aggregate 20mm nominal size )  </v>
      </c>
      <c r="C6" s="55">
        <f>[19]ESTIMATE!G8</f>
        <v>47.58</v>
      </c>
      <c r="D6" s="56" t="s">
        <v>8</v>
      </c>
      <c r="E6" s="55">
        <f>[19]ESTIMATE!I8</f>
        <v>4961.7299999999996</v>
      </c>
      <c r="F6" s="7">
        <f t="shared" si="0"/>
        <v>236079.11</v>
      </c>
    </row>
    <row r="7" spans="1:6" ht="38.25">
      <c r="A7" s="52" t="str">
        <f>[19]ESTIMATE!A9</f>
        <v>3               5.3.17.1</v>
      </c>
      <c r="B7" s="54" t="str">
        <f>[19]ESTIMATE!B9</f>
        <v>Centering and shuttering including strutting, propping etc. and removal of from for Foundations,footings, bases of columns, etc. for mass concrete.</v>
      </c>
      <c r="C7" s="55">
        <f>[19]ESTIMATE!G12</f>
        <v>26.02</v>
      </c>
      <c r="D7" s="58" t="s">
        <v>12</v>
      </c>
      <c r="E7" s="52">
        <f>[19]ESTIMATE!I12</f>
        <v>194.5</v>
      </c>
      <c r="F7" s="3">
        <f t="shared" si="0"/>
        <v>5060.8900000000003</v>
      </c>
    </row>
    <row r="8" spans="1:6">
      <c r="A8" s="52">
        <f>[19]ESTIMATE!A13</f>
        <v>4</v>
      </c>
      <c r="B8" s="59" t="s">
        <v>13</v>
      </c>
      <c r="C8" s="56"/>
      <c r="D8" s="60"/>
      <c r="E8" s="61"/>
      <c r="F8" s="7"/>
    </row>
    <row r="9" spans="1:6">
      <c r="A9" s="62" t="s">
        <v>14</v>
      </c>
      <c r="B9" s="63" t="s">
        <v>36</v>
      </c>
      <c r="C9" s="56">
        <f>PRODUCT('[19]MATERIAL '!E4)</f>
        <v>20.46</v>
      </c>
      <c r="D9" s="60" t="s">
        <v>8</v>
      </c>
      <c r="E9" s="52">
        <f>[19]ESTIMATE!I14</f>
        <v>819.06</v>
      </c>
      <c r="F9" s="7">
        <f t="shared" ref="F9:F10" si="1">ROUND(C9*E9,2)</f>
        <v>16757.97</v>
      </c>
    </row>
    <row r="10" spans="1:6">
      <c r="A10" s="62" t="s">
        <v>16</v>
      </c>
      <c r="B10" s="64" t="s">
        <v>37</v>
      </c>
      <c r="C10" s="56">
        <f>PRODUCT('[19]MATERIAL '!F4)</f>
        <v>40.92</v>
      </c>
      <c r="D10" s="60" t="s">
        <v>8</v>
      </c>
      <c r="E10" s="65">
        <f>[19]ESTIMATE!I15</f>
        <v>417.3</v>
      </c>
      <c r="F10" s="7">
        <f t="shared" si="1"/>
        <v>17075.919999999998</v>
      </c>
    </row>
    <row r="11" spans="1:6">
      <c r="A11" s="66"/>
      <c r="B11" s="66"/>
      <c r="C11" s="386" t="s">
        <v>24</v>
      </c>
      <c r="D11" s="386"/>
      <c r="E11" s="387"/>
      <c r="F11" s="7">
        <f>SUM(F5:F10)</f>
        <v>275954.44</v>
      </c>
    </row>
    <row r="12" spans="1:6">
      <c r="A12" s="66"/>
      <c r="B12" s="66"/>
      <c r="C12" s="394" t="s">
        <v>25</v>
      </c>
      <c r="D12" s="386"/>
      <c r="E12" s="387"/>
      <c r="F12" s="7">
        <f>F11*18%</f>
        <v>49671.799200000001</v>
      </c>
    </row>
    <row r="13" spans="1:6">
      <c r="A13" s="66"/>
      <c r="B13" s="66"/>
      <c r="C13" s="394" t="s">
        <v>24</v>
      </c>
      <c r="D13" s="386"/>
      <c r="E13" s="387"/>
      <c r="F13" s="7">
        <f>SUM(F11:F12)</f>
        <v>325626.23920000001</v>
      </c>
    </row>
    <row r="14" spans="1:6">
      <c r="A14" s="66"/>
      <c r="B14" s="66"/>
      <c r="C14" s="386" t="s">
        <v>26</v>
      </c>
      <c r="D14" s="386"/>
      <c r="E14" s="387"/>
      <c r="F14" s="7">
        <f>ROUND(F13*0.01,2)</f>
        <v>3256.26</v>
      </c>
    </row>
    <row r="15" spans="1:6">
      <c r="A15" s="66"/>
      <c r="B15" s="66"/>
      <c r="C15" s="386" t="s">
        <v>24</v>
      </c>
      <c r="D15" s="386"/>
      <c r="E15" s="387"/>
      <c r="F15" s="7">
        <f>SUM(F13:F14)</f>
        <v>328882.49920000002</v>
      </c>
    </row>
    <row r="16" spans="1:6">
      <c r="A16" s="66"/>
      <c r="B16" s="66"/>
      <c r="C16" s="386" t="s">
        <v>27</v>
      </c>
      <c r="D16" s="386"/>
      <c r="E16" s="387"/>
      <c r="F16" s="7">
        <v>328883</v>
      </c>
    </row>
    <row r="17" spans="1:6">
      <c r="A17" s="67"/>
      <c r="B17" s="67"/>
      <c r="C17" s="68"/>
      <c r="D17" s="68"/>
      <c r="E17" s="68"/>
      <c r="F17" s="69"/>
    </row>
    <row r="18" spans="1:6">
      <c r="A18" s="70"/>
      <c r="B18" s="70"/>
      <c r="C18" s="71"/>
      <c r="D18" s="71"/>
      <c r="E18" s="71"/>
      <c r="F18" s="69"/>
    </row>
    <row r="19" spans="1:6">
      <c r="A19" s="24"/>
      <c r="B19" s="25"/>
      <c r="C19" s="25"/>
      <c r="D19" s="25"/>
      <c r="E19" s="25"/>
      <c r="F19" s="26"/>
    </row>
    <row r="20" spans="1:6">
      <c r="A20" s="24"/>
      <c r="B20" s="25"/>
      <c r="C20" s="25"/>
      <c r="D20" s="25"/>
      <c r="E20" s="25"/>
      <c r="F20" s="26"/>
    </row>
    <row r="21" spans="1:6">
      <c r="A21" s="24"/>
      <c r="B21" s="72" t="s">
        <v>28</v>
      </c>
      <c r="C21" s="73" t="s">
        <v>29</v>
      </c>
      <c r="D21" s="25"/>
      <c r="E21" s="25"/>
      <c r="F21" s="20" t="s">
        <v>30</v>
      </c>
    </row>
    <row r="22" spans="1:6">
      <c r="A22" s="24"/>
      <c r="B22" s="72" t="s">
        <v>31</v>
      </c>
      <c r="C22" s="73" t="s">
        <v>32</v>
      </c>
      <c r="D22" s="25"/>
      <c r="E22" s="25"/>
      <c r="F22" s="20" t="s">
        <v>31</v>
      </c>
    </row>
    <row r="23" spans="1:6">
      <c r="A23" s="25"/>
      <c r="B23" s="25"/>
      <c r="C23" s="25"/>
      <c r="D23" s="25"/>
      <c r="E23" s="25"/>
      <c r="F23" s="26"/>
    </row>
    <row r="24" spans="1:6">
      <c r="A24" s="25"/>
      <c r="B24" s="25"/>
      <c r="C24" s="25"/>
      <c r="D24" s="25"/>
      <c r="E24" s="25"/>
      <c r="F24" s="26"/>
    </row>
  </sheetData>
  <mergeCells count="9">
    <mergeCell ref="C14:E14"/>
    <mergeCell ref="C15:E15"/>
    <mergeCell ref="C16:E16"/>
    <mergeCell ref="A1:F1"/>
    <mergeCell ref="A2:F2"/>
    <mergeCell ref="A3:F3"/>
    <mergeCell ref="C11:E11"/>
    <mergeCell ref="C12:E12"/>
    <mergeCell ref="C13:E1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17"/>
  <sheetViews>
    <sheetView workbookViewId="0">
      <selection activeCell="A3" sqref="A3:F3"/>
    </sheetView>
  </sheetViews>
  <sheetFormatPr defaultColWidth="9.140625" defaultRowHeight="15"/>
  <cols>
    <col min="1" max="1" width="9.28515625" style="83" bestFit="1" customWidth="1"/>
    <col min="2" max="2" width="42.28515625" style="89" customWidth="1"/>
    <col min="3" max="3" width="9.7109375" style="75" bestFit="1" customWidth="1"/>
    <col min="4" max="4" width="9.140625" style="90"/>
    <col min="5" max="5" width="15.85546875" style="75" customWidth="1"/>
    <col min="6" max="6" width="18.85546875" style="94" bestFit="1" customWidth="1"/>
    <col min="7" max="16384" width="9.140625" style="75"/>
  </cols>
  <sheetData>
    <row r="1" spans="1:8" ht="28.5" customHeight="1">
      <c r="A1" s="306" t="s">
        <v>0</v>
      </c>
      <c r="B1" s="306"/>
      <c r="C1" s="306"/>
      <c r="D1" s="306"/>
      <c r="E1" s="306"/>
      <c r="F1" s="306"/>
    </row>
    <row r="2" spans="1:8" ht="23.25" customHeight="1">
      <c r="A2" s="306" t="s">
        <v>38</v>
      </c>
      <c r="B2" s="306"/>
      <c r="C2" s="306"/>
      <c r="D2" s="306"/>
      <c r="E2" s="306"/>
      <c r="F2" s="306"/>
    </row>
    <row r="3" spans="1:8" ht="47.25" customHeight="1">
      <c r="A3" s="395" t="s">
        <v>148</v>
      </c>
      <c r="B3" s="396"/>
      <c r="C3" s="396"/>
      <c r="D3" s="396"/>
      <c r="E3" s="396"/>
      <c r="F3" s="397"/>
    </row>
    <row r="4" spans="1:8" ht="30" customHeight="1">
      <c r="A4" s="76" t="s">
        <v>39</v>
      </c>
      <c r="B4" s="177" t="s">
        <v>40</v>
      </c>
      <c r="C4" s="76" t="s">
        <v>41</v>
      </c>
      <c r="D4" s="76" t="s">
        <v>5</v>
      </c>
      <c r="E4" s="76" t="s">
        <v>42</v>
      </c>
      <c r="F4" s="76" t="s">
        <v>43</v>
      </c>
    </row>
    <row r="5" spans="1:8" ht="124.5" customHeight="1">
      <c r="A5" s="125" t="s">
        <v>149</v>
      </c>
      <c r="B5" s="178" t="s">
        <v>93</v>
      </c>
      <c r="C5" s="38">
        <f>[20]ESTIMATE!G7</f>
        <v>98.56</v>
      </c>
      <c r="D5" s="38" t="s">
        <v>44</v>
      </c>
      <c r="E5" s="38">
        <f>[20]ESTIMATE!I7</f>
        <v>4961.7299999999996</v>
      </c>
      <c r="F5" s="38">
        <f>ROUND(C5*E5,2)</f>
        <v>489028.11</v>
      </c>
      <c r="H5" s="75" t="s">
        <v>150</v>
      </c>
    </row>
    <row r="6" spans="1:8" ht="97.5" customHeight="1">
      <c r="A6" s="86" t="s">
        <v>151</v>
      </c>
      <c r="B6" s="179" t="s">
        <v>152</v>
      </c>
      <c r="C6" s="38">
        <f>[20]ESTIMATE!G13</f>
        <v>53.91</v>
      </c>
      <c r="D6" s="38" t="s">
        <v>45</v>
      </c>
      <c r="E6" s="38">
        <f>[20]ESTIMATE!I13</f>
        <v>194.5</v>
      </c>
      <c r="F6" s="38">
        <f>ROUND(C6*E6,2)</f>
        <v>10485.5</v>
      </c>
    </row>
    <row r="7" spans="1:8" ht="15.75">
      <c r="A7" s="79">
        <v>7</v>
      </c>
      <c r="B7" s="86" t="s">
        <v>13</v>
      </c>
      <c r="C7" s="38"/>
      <c r="D7" s="38"/>
      <c r="E7" s="38"/>
      <c r="F7" s="38"/>
    </row>
    <row r="8" spans="1:8" ht="15.75">
      <c r="A8" s="79"/>
      <c r="B8" s="87" t="s">
        <v>153</v>
      </c>
      <c r="C8" s="38">
        <f>[20]ESTIMATE!G17</f>
        <v>42.38</v>
      </c>
      <c r="D8" s="38" t="s">
        <v>61</v>
      </c>
      <c r="E8" s="38">
        <f>[20]ESTIMATE!I17</f>
        <v>848.82</v>
      </c>
      <c r="F8" s="38">
        <f>ROUND(C8*E8,2)</f>
        <v>35972.99</v>
      </c>
    </row>
    <row r="9" spans="1:8" s="180" customFormat="1" ht="15.75">
      <c r="A9" s="79"/>
      <c r="B9" s="87" t="s">
        <v>154</v>
      </c>
      <c r="C9" s="38">
        <f>[20]ESTIMATE!G18</f>
        <v>84.76</v>
      </c>
      <c r="D9" s="38" t="s">
        <v>61</v>
      </c>
      <c r="E9" s="38">
        <f>[20]ESTIMATE!I18</f>
        <v>447.06</v>
      </c>
      <c r="F9" s="38">
        <f>ROUND(C9*E9,2)</f>
        <v>37892.81</v>
      </c>
    </row>
    <row r="10" spans="1:8" s="180" customFormat="1" ht="15.75">
      <c r="A10" s="83"/>
      <c r="B10" s="84"/>
      <c r="C10" s="326" t="s">
        <v>24</v>
      </c>
      <c r="D10" s="326"/>
      <c r="E10" s="326"/>
      <c r="F10" s="105">
        <f>SUM(F5:F9)</f>
        <v>573379.40999999992</v>
      </c>
    </row>
    <row r="11" spans="1:8" s="180" customFormat="1" ht="15.75">
      <c r="A11" s="83"/>
      <c r="B11" s="84"/>
      <c r="C11" s="326" t="s">
        <v>25</v>
      </c>
      <c r="D11" s="326"/>
      <c r="E11" s="326"/>
      <c r="F11" s="105">
        <f>ROUND(F10*18%,2)</f>
        <v>103208.29</v>
      </c>
    </row>
    <row r="12" spans="1:8" s="180" customFormat="1" ht="15.75">
      <c r="A12" s="83"/>
      <c r="B12" s="84"/>
      <c r="C12" s="326" t="s">
        <v>24</v>
      </c>
      <c r="D12" s="326"/>
      <c r="E12" s="326"/>
      <c r="F12" s="105">
        <f>SUM(F10:F11)</f>
        <v>676587.7</v>
      </c>
    </row>
    <row r="13" spans="1:8" s="180" customFormat="1" ht="15.75">
      <c r="A13" s="83"/>
      <c r="B13" s="84"/>
      <c r="C13" s="326" t="s">
        <v>35</v>
      </c>
      <c r="D13" s="326"/>
      <c r="E13" s="326"/>
      <c r="F13" s="105">
        <f>ROUND(F12*0.01,2)</f>
        <v>6765.88</v>
      </c>
    </row>
    <row r="14" spans="1:8" s="180" customFormat="1" ht="15.75">
      <c r="A14" s="83"/>
      <c r="B14" s="84"/>
      <c r="C14" s="327" t="s">
        <v>96</v>
      </c>
      <c r="D14" s="327"/>
      <c r="E14" s="327"/>
      <c r="F14" s="105">
        <f>SUM(F12:F13)</f>
        <v>683353.58</v>
      </c>
    </row>
    <row r="15" spans="1:8" s="180" customFormat="1" ht="18">
      <c r="A15" s="83"/>
      <c r="B15" s="84"/>
      <c r="C15" s="327" t="s">
        <v>27</v>
      </c>
      <c r="D15" s="327"/>
      <c r="E15" s="327"/>
      <c r="F15" s="181">
        <f>ROUND(F14,0)</f>
        <v>683354</v>
      </c>
    </row>
    <row r="16" spans="1:8">
      <c r="A16" s="182"/>
      <c r="B16" s="183"/>
      <c r="C16" s="184"/>
      <c r="D16" s="185"/>
      <c r="E16" s="184"/>
    </row>
    <row r="17" spans="1:1">
      <c r="A17" s="182"/>
    </row>
  </sheetData>
  <mergeCells count="9">
    <mergeCell ref="C13:E13"/>
    <mergeCell ref="C14:E14"/>
    <mergeCell ref="C15:E15"/>
    <mergeCell ref="A1:F1"/>
    <mergeCell ref="A2:F2"/>
    <mergeCell ref="A3:F3"/>
    <mergeCell ref="C10:E10"/>
    <mergeCell ref="C11:E11"/>
    <mergeCell ref="C12:E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15"/>
  <sheetViews>
    <sheetView workbookViewId="0">
      <selection activeCell="A3" sqref="A3:H3"/>
    </sheetView>
  </sheetViews>
  <sheetFormatPr defaultColWidth="9.140625" defaultRowHeight="15"/>
  <cols>
    <col min="1" max="1" width="9.28515625" style="88" bestFit="1" customWidth="1"/>
    <col min="2" max="2" width="42.28515625" style="89" customWidth="1"/>
    <col min="3" max="3" width="9.28515625" style="75" bestFit="1" customWidth="1"/>
    <col min="4" max="4" width="9.140625" style="90"/>
    <col min="5" max="5" width="10.85546875" style="75" bestFit="1" customWidth="1"/>
    <col min="6" max="6" width="16" style="94" bestFit="1" customWidth="1"/>
    <col min="7" max="7" width="9.140625" style="75" hidden="1" customWidth="1"/>
    <col min="8" max="8" width="5.5703125" style="75" hidden="1" customWidth="1"/>
    <col min="9" max="16384" width="9.140625" style="75"/>
  </cols>
  <sheetData>
    <row r="1" spans="1:8" ht="30.75" customHeight="1">
      <c r="A1" s="306" t="s">
        <v>0</v>
      </c>
      <c r="B1" s="306"/>
      <c r="C1" s="306"/>
      <c r="D1" s="306"/>
      <c r="E1" s="306"/>
      <c r="F1" s="306"/>
      <c r="G1" s="85"/>
      <c r="H1" s="85"/>
    </row>
    <row r="2" spans="1:8" ht="27" customHeight="1">
      <c r="A2" s="306" t="s">
        <v>38</v>
      </c>
      <c r="B2" s="306"/>
      <c r="C2" s="306"/>
      <c r="D2" s="306"/>
      <c r="E2" s="306"/>
      <c r="F2" s="306"/>
      <c r="G2" s="85"/>
      <c r="H2" s="85"/>
    </row>
    <row r="3" spans="1:8" ht="39.75" customHeight="1">
      <c r="A3" s="398" t="s">
        <v>155</v>
      </c>
      <c r="B3" s="398"/>
      <c r="C3" s="398"/>
      <c r="D3" s="398"/>
      <c r="E3" s="398"/>
      <c r="F3" s="398"/>
      <c r="G3" s="398"/>
      <c r="H3" s="398"/>
    </row>
    <row r="4" spans="1:8" ht="26.25" customHeight="1">
      <c r="A4" s="76" t="s">
        <v>39</v>
      </c>
      <c r="B4" s="76" t="s">
        <v>40</v>
      </c>
      <c r="C4" s="76" t="s">
        <v>41</v>
      </c>
      <c r="D4" s="76" t="s">
        <v>5</v>
      </c>
      <c r="E4" s="76" t="s">
        <v>42</v>
      </c>
      <c r="F4" s="76" t="s">
        <v>43</v>
      </c>
      <c r="G4" s="85"/>
      <c r="H4" s="85"/>
    </row>
    <row r="5" spans="1:8" ht="156.75">
      <c r="A5" s="186" t="s">
        <v>149</v>
      </c>
      <c r="B5" s="187" t="s">
        <v>93</v>
      </c>
      <c r="C5" s="188">
        <f>[21]ESTIMATE!G7</f>
        <v>84.01</v>
      </c>
      <c r="D5" s="188" t="s">
        <v>44</v>
      </c>
      <c r="E5" s="188">
        <f>[21]ESTIMATE!I7</f>
        <v>4961.7299999999996</v>
      </c>
      <c r="F5" s="188">
        <f>ROUND(C5*E5,2)</f>
        <v>416834.94</v>
      </c>
    </row>
    <row r="6" spans="1:8" ht="71.25">
      <c r="A6" s="189" t="s">
        <v>151</v>
      </c>
      <c r="B6" s="190" t="s">
        <v>91</v>
      </c>
      <c r="C6" s="38">
        <f>[21]ESTIMATE!G13</f>
        <v>52.51</v>
      </c>
      <c r="D6" s="38" t="s">
        <v>45</v>
      </c>
      <c r="E6" s="38">
        <f>[21]ESTIMATE!I13</f>
        <v>194.5</v>
      </c>
      <c r="F6" s="38">
        <f t="shared" ref="F6:F9" si="0">ROUND(C6*E6,2)</f>
        <v>10213.200000000001</v>
      </c>
    </row>
    <row r="7" spans="1:8" ht="15.75">
      <c r="A7" s="79">
        <v>7</v>
      </c>
      <c r="B7" s="189" t="s">
        <v>13</v>
      </c>
      <c r="C7" s="38"/>
      <c r="D7" s="38" t="s">
        <v>44</v>
      </c>
      <c r="E7" s="38"/>
      <c r="F7" s="38"/>
    </row>
    <row r="8" spans="1:8" ht="15.75">
      <c r="A8" s="79" t="s">
        <v>72</v>
      </c>
      <c r="B8" s="190" t="s">
        <v>153</v>
      </c>
      <c r="C8" s="38">
        <f>[21]ESTIMATE!G17</f>
        <v>36.119999999999997</v>
      </c>
      <c r="D8" s="38" t="s">
        <v>44</v>
      </c>
      <c r="E8" s="38">
        <f>[21]ESTIMATE!I17</f>
        <v>848.82</v>
      </c>
      <c r="F8" s="38">
        <f t="shared" si="0"/>
        <v>30659.38</v>
      </c>
    </row>
    <row r="9" spans="1:8" ht="15.75">
      <c r="A9" s="79" t="s">
        <v>74</v>
      </c>
      <c r="B9" s="190" t="s">
        <v>154</v>
      </c>
      <c r="C9" s="38">
        <f>[21]ESTIMATE!G18</f>
        <v>72.25</v>
      </c>
      <c r="D9" s="38" t="s">
        <v>44</v>
      </c>
      <c r="E9" s="38">
        <f>[21]ESTIMATE!I18</f>
        <v>447.06</v>
      </c>
      <c r="F9" s="38">
        <f t="shared" si="0"/>
        <v>32300.09</v>
      </c>
    </row>
    <row r="10" spans="1:8" ht="15.75">
      <c r="A10" s="83"/>
      <c r="B10" s="84"/>
      <c r="C10" s="326" t="s">
        <v>24</v>
      </c>
      <c r="D10" s="326"/>
      <c r="E10" s="326"/>
      <c r="F10" s="105">
        <f>SUM(F5:F9)</f>
        <v>490007.61000000004</v>
      </c>
    </row>
    <row r="11" spans="1:8" ht="15.75">
      <c r="A11" s="83"/>
      <c r="B11" s="84"/>
      <c r="C11" s="326" t="s">
        <v>25</v>
      </c>
      <c r="D11" s="326"/>
      <c r="E11" s="326"/>
      <c r="F11" s="105">
        <f>ROUND(F10*18%,2)</f>
        <v>88201.37</v>
      </c>
    </row>
    <row r="12" spans="1:8" ht="15.75">
      <c r="A12" s="83"/>
      <c r="B12" s="84"/>
      <c r="C12" s="326" t="s">
        <v>24</v>
      </c>
      <c r="D12" s="326"/>
      <c r="E12" s="326"/>
      <c r="F12" s="105">
        <f>SUM(F10:F11)</f>
        <v>578208.98</v>
      </c>
    </row>
    <row r="13" spans="1:8" ht="15.75">
      <c r="A13" s="83"/>
      <c r="B13" s="84"/>
      <c r="C13" s="326" t="s">
        <v>35</v>
      </c>
      <c r="D13" s="326"/>
      <c r="E13" s="326"/>
      <c r="F13" s="105">
        <f>ROUND(F12*0.01,2)</f>
        <v>5782.09</v>
      </c>
    </row>
    <row r="14" spans="1:8" ht="15.75">
      <c r="A14" s="83"/>
      <c r="B14" s="84"/>
      <c r="C14" s="327" t="s">
        <v>96</v>
      </c>
      <c r="D14" s="327"/>
      <c r="E14" s="327"/>
      <c r="F14" s="105">
        <f>SUM(F12:F13)</f>
        <v>583991.06999999995</v>
      </c>
    </row>
    <row r="15" spans="1:8" ht="18">
      <c r="A15" s="83"/>
      <c r="B15" s="84"/>
      <c r="C15" s="327" t="s">
        <v>27</v>
      </c>
      <c r="D15" s="327"/>
      <c r="E15" s="327"/>
      <c r="F15" s="181">
        <f>ROUND(F14,0)</f>
        <v>583991</v>
      </c>
    </row>
  </sheetData>
  <mergeCells count="9">
    <mergeCell ref="C13:E13"/>
    <mergeCell ref="C14:E14"/>
    <mergeCell ref="C15:E15"/>
    <mergeCell ref="A1:F1"/>
    <mergeCell ref="A2:F2"/>
    <mergeCell ref="A3:H3"/>
    <mergeCell ref="C10:E10"/>
    <mergeCell ref="C11:E11"/>
    <mergeCell ref="C12:E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ColWidth="9.140625" defaultRowHeight="15"/>
  <cols>
    <col min="1" max="1" width="9.28515625" style="88" bestFit="1" customWidth="1"/>
    <col min="2" max="2" width="42.28515625" style="89" customWidth="1"/>
    <col min="3" max="3" width="9.28515625" style="75" bestFit="1" customWidth="1"/>
    <col min="4" max="4" width="9.140625" style="90"/>
    <col min="5" max="5" width="10.85546875" style="75" bestFit="1" customWidth="1"/>
    <col min="6" max="6" width="19.5703125" style="94" bestFit="1" customWidth="1"/>
    <col min="7" max="16384" width="9.140625" style="75"/>
  </cols>
  <sheetData>
    <row r="1" spans="1:6" ht="30.75" customHeight="1">
      <c r="A1" s="306" t="s">
        <v>0</v>
      </c>
      <c r="B1" s="306"/>
      <c r="C1" s="306"/>
      <c r="D1" s="306"/>
      <c r="E1" s="306"/>
      <c r="F1" s="306"/>
    </row>
    <row r="2" spans="1:6" ht="27" customHeight="1">
      <c r="A2" s="306" t="s">
        <v>38</v>
      </c>
      <c r="B2" s="306"/>
      <c r="C2" s="306"/>
      <c r="D2" s="306"/>
      <c r="E2" s="306"/>
      <c r="F2" s="306"/>
    </row>
    <row r="3" spans="1:6" ht="35.25" customHeight="1">
      <c r="A3" s="399" t="s">
        <v>156</v>
      </c>
      <c r="B3" s="400"/>
      <c r="C3" s="400"/>
      <c r="D3" s="400"/>
      <c r="E3" s="400"/>
      <c r="F3" s="401"/>
    </row>
    <row r="4" spans="1:6" ht="30" customHeight="1">
      <c r="A4" s="76" t="s">
        <v>39</v>
      </c>
      <c r="B4" s="76" t="s">
        <v>40</v>
      </c>
      <c r="C4" s="76" t="s">
        <v>41</v>
      </c>
      <c r="D4" s="76" t="s">
        <v>5</v>
      </c>
      <c r="E4" s="76" t="s">
        <v>42</v>
      </c>
      <c r="F4" s="76" t="s">
        <v>43</v>
      </c>
    </row>
    <row r="5" spans="1:6" ht="173.25">
      <c r="A5" s="189" t="s">
        <v>149</v>
      </c>
      <c r="B5" s="103" t="s">
        <v>93</v>
      </c>
      <c r="C5" s="191">
        <f>[22]ESTIMATE!G7</f>
        <v>43.61</v>
      </c>
      <c r="D5" s="191" t="s">
        <v>45</v>
      </c>
      <c r="E5" s="191">
        <f>[22]ESTIMATE!I7</f>
        <v>4961.7299999999996</v>
      </c>
      <c r="F5" s="191">
        <f>ROUND(C5*E5,2)</f>
        <v>216381.05</v>
      </c>
    </row>
    <row r="6" spans="1:6" ht="78.75">
      <c r="A6" s="189" t="s">
        <v>151</v>
      </c>
      <c r="B6" s="103" t="s">
        <v>91</v>
      </c>
      <c r="C6" s="191">
        <f>[22]ESTIMATE!G13</f>
        <v>35.79</v>
      </c>
      <c r="D6" s="191" t="s">
        <v>44</v>
      </c>
      <c r="E6" s="191">
        <f>[22]ESTIMATE!I13</f>
        <v>194.5</v>
      </c>
      <c r="F6" s="191">
        <f t="shared" ref="F6:F9" si="0">ROUND(C6*E6,2)</f>
        <v>6961.16</v>
      </c>
    </row>
    <row r="7" spans="1:6">
      <c r="A7" s="79">
        <v>7</v>
      </c>
      <c r="B7" s="189" t="s">
        <v>13</v>
      </c>
      <c r="C7" s="79"/>
      <c r="D7" s="79"/>
      <c r="E7" s="79"/>
      <c r="F7" s="79"/>
    </row>
    <row r="8" spans="1:6" ht="18.75">
      <c r="A8" s="79"/>
      <c r="B8" s="190" t="s">
        <v>153</v>
      </c>
      <c r="C8" s="191">
        <f>[22]ESTIMATE!G17</f>
        <v>18.75</v>
      </c>
      <c r="D8" s="191" t="s">
        <v>61</v>
      </c>
      <c r="E8" s="191">
        <f>[22]ESTIMATE!I17</f>
        <v>848.82</v>
      </c>
      <c r="F8" s="191">
        <f t="shared" si="0"/>
        <v>15915.38</v>
      </c>
    </row>
    <row r="9" spans="1:6" ht="18.75">
      <c r="A9" s="79"/>
      <c r="B9" s="190" t="s">
        <v>154</v>
      </c>
      <c r="C9" s="191">
        <f>[22]ESTIMATE!G18</f>
        <v>37.5</v>
      </c>
      <c r="D9" s="191" t="s">
        <v>61</v>
      </c>
      <c r="E9" s="191">
        <f>[22]ESTIMATE!I18</f>
        <v>447.06</v>
      </c>
      <c r="F9" s="191">
        <f t="shared" si="0"/>
        <v>16764.75</v>
      </c>
    </row>
    <row r="10" spans="1:6" ht="15.75">
      <c r="A10" s="83"/>
      <c r="B10" s="84"/>
      <c r="C10" s="326" t="s">
        <v>24</v>
      </c>
      <c r="D10" s="326"/>
      <c r="E10" s="326"/>
      <c r="F10" s="105">
        <f>SUM(F5:F9)</f>
        <v>256022.34</v>
      </c>
    </row>
    <row r="11" spans="1:6" ht="15.75">
      <c r="A11" s="83"/>
      <c r="B11" s="84"/>
      <c r="C11" s="326" t="s">
        <v>25</v>
      </c>
      <c r="D11" s="326"/>
      <c r="E11" s="326"/>
      <c r="F11" s="105">
        <f>ROUND(F10*18%,2)</f>
        <v>46084.02</v>
      </c>
    </row>
    <row r="12" spans="1:6" ht="15.75">
      <c r="A12" s="83"/>
      <c r="B12" s="84"/>
      <c r="C12" s="326" t="s">
        <v>24</v>
      </c>
      <c r="D12" s="326"/>
      <c r="E12" s="326"/>
      <c r="F12" s="105">
        <f>SUM(F10:F11)</f>
        <v>302106.36</v>
      </c>
    </row>
    <row r="13" spans="1:6" ht="15.75">
      <c r="A13" s="83"/>
      <c r="B13" s="84"/>
      <c r="C13" s="326" t="s">
        <v>35</v>
      </c>
      <c r="D13" s="326"/>
      <c r="E13" s="326"/>
      <c r="F13" s="105">
        <f>ROUND(F12*0.01,2)</f>
        <v>3021.06</v>
      </c>
    </row>
    <row r="14" spans="1:6" ht="15.75">
      <c r="A14" s="83"/>
      <c r="B14" s="84"/>
      <c r="C14" s="327" t="s">
        <v>96</v>
      </c>
      <c r="D14" s="327"/>
      <c r="E14" s="327"/>
      <c r="F14" s="105">
        <f>SUM(F12:F13)</f>
        <v>305127.42</v>
      </c>
    </row>
    <row r="15" spans="1:6" ht="20.25">
      <c r="A15" s="83"/>
      <c r="B15" s="84"/>
      <c r="C15" s="327" t="s">
        <v>27</v>
      </c>
      <c r="D15" s="327"/>
      <c r="E15" s="327"/>
      <c r="F15" s="192">
        <v>305128</v>
      </c>
    </row>
    <row r="19" spans="2:5">
      <c r="B19" s="89" t="s">
        <v>157</v>
      </c>
      <c r="E19" s="75" t="s">
        <v>158</v>
      </c>
    </row>
    <row r="20" spans="2:5">
      <c r="B20" s="89" t="s">
        <v>159</v>
      </c>
      <c r="E20" s="75" t="s">
        <v>159</v>
      </c>
    </row>
  </sheetData>
  <mergeCells count="9">
    <mergeCell ref="C13:E13"/>
    <mergeCell ref="C14:E14"/>
    <mergeCell ref="C15:E15"/>
    <mergeCell ref="A1:F1"/>
    <mergeCell ref="A2:F2"/>
    <mergeCell ref="A3:F3"/>
    <mergeCell ref="C10:E10"/>
    <mergeCell ref="C11:E11"/>
    <mergeCell ref="C12:E12"/>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21"/>
  <sheetViews>
    <sheetView workbookViewId="0">
      <selection activeCell="B3" sqref="B3:F3"/>
    </sheetView>
  </sheetViews>
  <sheetFormatPr defaultRowHeight="51.75" customHeight="1"/>
  <cols>
    <col min="2" max="2" width="40.5703125" customWidth="1"/>
    <col min="3" max="3" width="9.28515625" bestFit="1" customWidth="1"/>
    <col min="5" max="5" width="9.7109375" bestFit="1" customWidth="1"/>
    <col min="6" max="6" width="15.85546875" customWidth="1"/>
  </cols>
  <sheetData>
    <row r="1" spans="1:6" ht="45.6" customHeight="1">
      <c r="A1" s="193"/>
      <c r="B1" s="408" t="s">
        <v>0</v>
      </c>
      <c r="C1" s="408"/>
      <c r="D1" s="408"/>
      <c r="E1" s="408"/>
      <c r="F1" s="408"/>
    </row>
    <row r="2" spans="1:6" ht="32.450000000000003" customHeight="1">
      <c r="A2" s="193"/>
      <c r="B2" s="319" t="s">
        <v>83</v>
      </c>
      <c r="C2" s="320"/>
      <c r="D2" s="320"/>
      <c r="E2" s="320"/>
      <c r="F2" s="321"/>
    </row>
    <row r="3" spans="1:6" ht="45" customHeight="1">
      <c r="A3" s="193"/>
      <c r="B3" s="409" t="s">
        <v>160</v>
      </c>
      <c r="C3" s="409"/>
      <c r="D3" s="409"/>
      <c r="E3" s="409"/>
      <c r="F3" s="409"/>
    </row>
    <row r="4" spans="1:6" ht="25.5" customHeight="1">
      <c r="A4" s="125" t="s">
        <v>39</v>
      </c>
      <c r="B4" s="125" t="s">
        <v>40</v>
      </c>
      <c r="C4" s="125" t="s">
        <v>161</v>
      </c>
      <c r="D4" s="125" t="s">
        <v>5</v>
      </c>
      <c r="E4" s="125" t="s">
        <v>42</v>
      </c>
      <c r="F4" s="125" t="s">
        <v>43</v>
      </c>
    </row>
    <row r="5" spans="1:6" ht="90.6" customHeight="1">
      <c r="A5" s="138" t="s">
        <v>162</v>
      </c>
      <c r="B5" s="140" t="s">
        <v>163</v>
      </c>
      <c r="C5" s="194">
        <f>[23]ESTIMATE!G7</f>
        <v>11.38</v>
      </c>
      <c r="D5" s="195" t="s">
        <v>164</v>
      </c>
      <c r="E5" s="196">
        <f>[23]ESTIMATE!I7</f>
        <v>151.82</v>
      </c>
      <c r="F5" s="197">
        <f>ROUND(C5*E5,2)</f>
        <v>1727.71</v>
      </c>
    </row>
    <row r="6" spans="1:6" ht="110.25" customHeight="1">
      <c r="A6" s="125" t="s">
        <v>165</v>
      </c>
      <c r="B6" s="87" t="s">
        <v>166</v>
      </c>
      <c r="C6" s="194">
        <f>[23]ESTIMATE!G11</f>
        <v>4.25</v>
      </c>
      <c r="D6" s="195" t="s">
        <v>164</v>
      </c>
      <c r="E6" s="76">
        <f>[23]ESTIMATE!I11</f>
        <v>589.51</v>
      </c>
      <c r="F6" s="197">
        <f t="shared" ref="F6:F14" si="0">ROUND(C6*E6,2)</f>
        <v>2505.42</v>
      </c>
    </row>
    <row r="7" spans="1:6" ht="95.45" customHeight="1">
      <c r="A7" s="125" t="s">
        <v>167</v>
      </c>
      <c r="B7" s="87" t="s">
        <v>65</v>
      </c>
      <c r="C7" s="194">
        <f>[23]ESTIMATE!G16</f>
        <v>14.27</v>
      </c>
      <c r="D7" s="195" t="s">
        <v>164</v>
      </c>
      <c r="E7" s="194">
        <f>[23]ESTIMATE!I16</f>
        <v>1756.4</v>
      </c>
      <c r="F7" s="197">
        <f t="shared" si="0"/>
        <v>25063.83</v>
      </c>
    </row>
    <row r="8" spans="1:6" ht="93.6" customHeight="1">
      <c r="A8" s="125" t="s">
        <v>168</v>
      </c>
      <c r="B8" s="87" t="s">
        <v>169</v>
      </c>
      <c r="C8" s="194">
        <f>[23]ESTIMATE!G20</f>
        <v>84.96</v>
      </c>
      <c r="D8" s="195" t="s">
        <v>164</v>
      </c>
      <c r="E8" s="194">
        <f>[23]ESTIMATE!I20</f>
        <v>4961.7299999999996</v>
      </c>
      <c r="F8" s="197">
        <f t="shared" si="0"/>
        <v>421548.58</v>
      </c>
    </row>
    <row r="9" spans="1:6" ht="65.25" customHeight="1">
      <c r="A9" s="125" t="s">
        <v>170</v>
      </c>
      <c r="B9" s="87" t="s">
        <v>171</v>
      </c>
      <c r="C9" s="194">
        <f>[23]ESTIMATE!G24</f>
        <v>46.47</v>
      </c>
      <c r="D9" s="76" t="s">
        <v>45</v>
      </c>
      <c r="E9" s="194">
        <f>[23]ESTIMATE!I24</f>
        <v>194.5</v>
      </c>
      <c r="F9" s="197">
        <f t="shared" si="0"/>
        <v>9038.42</v>
      </c>
    </row>
    <row r="10" spans="1:6" ht="20.25" customHeight="1">
      <c r="A10" s="86">
        <v>6</v>
      </c>
      <c r="B10" s="189" t="s">
        <v>71</v>
      </c>
      <c r="C10" s="189"/>
      <c r="D10" s="189"/>
      <c r="E10" s="189"/>
      <c r="F10" s="197"/>
    </row>
    <row r="11" spans="1:6" ht="18" customHeight="1">
      <c r="A11" s="130" t="s">
        <v>14</v>
      </c>
      <c r="B11" s="87" t="s">
        <v>47</v>
      </c>
      <c r="C11" s="198">
        <f>[23]ESTIMATE!G26</f>
        <v>36.53</v>
      </c>
      <c r="D11" s="195" t="s">
        <v>164</v>
      </c>
      <c r="E11" s="85">
        <v>848.82</v>
      </c>
      <c r="F11" s="197">
        <f t="shared" si="0"/>
        <v>31007.39</v>
      </c>
    </row>
    <row r="12" spans="1:6" ht="18.75" customHeight="1">
      <c r="A12" s="135" t="s">
        <v>16</v>
      </c>
      <c r="B12" s="87" t="s">
        <v>172</v>
      </c>
      <c r="C12" s="198">
        <f>[23]ESTIMATE!G27</f>
        <v>4.25</v>
      </c>
      <c r="D12" s="195" t="s">
        <v>164</v>
      </c>
      <c r="E12" s="85">
        <v>328.02</v>
      </c>
      <c r="F12" s="197">
        <f t="shared" si="0"/>
        <v>1394.09</v>
      </c>
    </row>
    <row r="13" spans="1:6" ht="18.75" customHeight="1">
      <c r="A13" s="135" t="s">
        <v>18</v>
      </c>
      <c r="B13" s="87" t="s">
        <v>49</v>
      </c>
      <c r="C13" s="198">
        <f>[23]ESTIMATE!G28</f>
        <v>14.27</v>
      </c>
      <c r="D13" s="195" t="s">
        <v>164</v>
      </c>
      <c r="E13" s="85">
        <v>679.66</v>
      </c>
      <c r="F13" s="197">
        <f t="shared" si="0"/>
        <v>9698.75</v>
      </c>
    </row>
    <row r="14" spans="1:6" ht="19.5" customHeight="1">
      <c r="A14" s="135" t="s">
        <v>20</v>
      </c>
      <c r="B14" s="87" t="s">
        <v>50</v>
      </c>
      <c r="C14" s="198">
        <f>[23]ESTIMATE!G29</f>
        <v>73.069999999999993</v>
      </c>
      <c r="D14" s="195" t="s">
        <v>164</v>
      </c>
      <c r="E14" s="85">
        <v>447.06</v>
      </c>
      <c r="F14" s="197">
        <f t="shared" si="0"/>
        <v>32666.67</v>
      </c>
    </row>
    <row r="15" spans="1:6" ht="19.5" customHeight="1">
      <c r="A15" s="135" t="s">
        <v>22</v>
      </c>
      <c r="B15" s="87" t="s">
        <v>51</v>
      </c>
      <c r="C15" s="198">
        <f>[23]ESTIMATE!G30</f>
        <v>11.38</v>
      </c>
      <c r="D15" s="195" t="s">
        <v>164</v>
      </c>
      <c r="E15" s="80">
        <v>117.54</v>
      </c>
      <c r="F15" s="197">
        <f>ROUND(C15*E15,2)</f>
        <v>1337.61</v>
      </c>
    </row>
    <row r="16" spans="1:6" ht="16.5" customHeight="1">
      <c r="A16" s="199"/>
      <c r="B16" s="199"/>
      <c r="C16" s="200"/>
      <c r="D16" s="109"/>
      <c r="E16" s="109" t="s">
        <v>24</v>
      </c>
      <c r="F16" s="141">
        <f>SUM(F5:F15)</f>
        <v>535988.47000000009</v>
      </c>
    </row>
    <row r="17" spans="1:6" ht="16.5" customHeight="1">
      <c r="A17" s="201"/>
      <c r="B17" s="202"/>
      <c r="C17" s="410" t="s">
        <v>25</v>
      </c>
      <c r="D17" s="410"/>
      <c r="E17" s="411"/>
      <c r="F17" s="141">
        <f>ROUND(F16*18%,2)</f>
        <v>96477.92</v>
      </c>
    </row>
    <row r="18" spans="1:6" ht="17.25" customHeight="1">
      <c r="A18" s="203"/>
      <c r="B18" s="412" t="s">
        <v>24</v>
      </c>
      <c r="C18" s="412"/>
      <c r="D18" s="412"/>
      <c r="E18" s="413"/>
      <c r="F18" s="204">
        <f>F16+F17</f>
        <v>632466.39000000013</v>
      </c>
    </row>
    <row r="19" spans="1:6" ht="15.75" customHeight="1">
      <c r="A19" s="414" t="s">
        <v>173</v>
      </c>
      <c r="B19" s="412"/>
      <c r="C19" s="412"/>
      <c r="D19" s="412"/>
      <c r="E19" s="413"/>
      <c r="F19" s="107">
        <f>ROUND(F18*1%,2)</f>
        <v>6324.66</v>
      </c>
    </row>
    <row r="20" spans="1:6" ht="23.25" customHeight="1">
      <c r="A20" s="402" t="s">
        <v>174</v>
      </c>
      <c r="B20" s="403"/>
      <c r="C20" s="403"/>
      <c r="D20" s="403"/>
      <c r="E20" s="404"/>
      <c r="F20" s="108">
        <f>F18+F19</f>
        <v>638791.05000000016</v>
      </c>
    </row>
    <row r="21" spans="1:6" ht="19.5" customHeight="1">
      <c r="A21" s="405" t="s">
        <v>175</v>
      </c>
      <c r="B21" s="406"/>
      <c r="C21" s="406"/>
      <c r="D21" s="406"/>
      <c r="E21" s="407"/>
      <c r="F21" s="181">
        <v>638792</v>
      </c>
    </row>
  </sheetData>
  <mergeCells count="8">
    <mergeCell ref="A20:E20"/>
    <mergeCell ref="A21:E21"/>
    <mergeCell ref="B1:F1"/>
    <mergeCell ref="B2:F2"/>
    <mergeCell ref="B3:F3"/>
    <mergeCell ref="C17:E17"/>
    <mergeCell ref="B18:E18"/>
    <mergeCell ref="A19:E19"/>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27"/>
  <sheetViews>
    <sheetView workbookViewId="0">
      <selection activeCell="B3" sqref="B3:F3"/>
    </sheetView>
  </sheetViews>
  <sheetFormatPr defaultRowHeight="15"/>
  <cols>
    <col min="1" max="1" width="7.42578125" customWidth="1"/>
    <col min="2" max="2" width="48.85546875" customWidth="1"/>
    <col min="3" max="3" width="12.140625" customWidth="1"/>
    <col min="4" max="4" width="8.140625" customWidth="1"/>
    <col min="5" max="5" width="9.85546875" customWidth="1"/>
    <col min="6" max="6" width="18.140625" customWidth="1"/>
  </cols>
  <sheetData>
    <row r="1" spans="1:6" ht="42" customHeight="1">
      <c r="A1" s="193"/>
      <c r="B1" s="408" t="s">
        <v>0</v>
      </c>
      <c r="C1" s="408"/>
      <c r="D1" s="408"/>
      <c r="E1" s="408"/>
      <c r="F1" s="408"/>
    </row>
    <row r="2" spans="1:6" ht="25.9" customHeight="1">
      <c r="A2" s="193"/>
      <c r="B2" s="319" t="s">
        <v>83</v>
      </c>
      <c r="C2" s="320"/>
      <c r="D2" s="320"/>
      <c r="E2" s="320"/>
      <c r="F2" s="321"/>
    </row>
    <row r="3" spans="1:6" ht="39.6" customHeight="1">
      <c r="A3" s="193"/>
      <c r="B3" s="409" t="s">
        <v>176</v>
      </c>
      <c r="C3" s="409"/>
      <c r="D3" s="409"/>
      <c r="E3" s="409"/>
      <c r="F3" s="409"/>
    </row>
    <row r="4" spans="1:6" ht="27.75" customHeight="1">
      <c r="A4" s="125" t="s">
        <v>39</v>
      </c>
      <c r="B4" s="125" t="s">
        <v>40</v>
      </c>
      <c r="C4" s="125" t="s">
        <v>41</v>
      </c>
      <c r="D4" s="125" t="s">
        <v>5</v>
      </c>
      <c r="E4" s="125" t="s">
        <v>42</v>
      </c>
      <c r="F4" s="125" t="s">
        <v>43</v>
      </c>
    </row>
    <row r="5" spans="1:6" ht="81" customHeight="1">
      <c r="A5" s="138" t="s">
        <v>162</v>
      </c>
      <c r="B5" s="143" t="s">
        <v>163</v>
      </c>
      <c r="C5" s="197">
        <f>[24]ESTIMATE!G7</f>
        <v>17.27</v>
      </c>
      <c r="D5" s="195" t="s">
        <v>164</v>
      </c>
      <c r="E5" s="196">
        <f>[24]ESTIMATE!I7</f>
        <v>151.82</v>
      </c>
      <c r="F5" s="197">
        <f>ROUND(C5*E5,2)</f>
        <v>2621.93</v>
      </c>
    </row>
    <row r="6" spans="1:6" ht="94.15" customHeight="1">
      <c r="A6" s="125" t="s">
        <v>165</v>
      </c>
      <c r="B6" s="87" t="s">
        <v>166</v>
      </c>
      <c r="C6" s="194">
        <f>[24]ESTIMATE!G11</f>
        <v>6.44</v>
      </c>
      <c r="D6" s="195" t="s">
        <v>164</v>
      </c>
      <c r="E6" s="76">
        <f>[24]ESTIMATE!I11</f>
        <v>589.51</v>
      </c>
      <c r="F6" s="197">
        <f t="shared" ref="F6:F9" si="0">ROUND(C6*E6,2)</f>
        <v>3796.44</v>
      </c>
    </row>
    <row r="7" spans="1:6" ht="81.599999999999994" customHeight="1">
      <c r="A7" s="125" t="s">
        <v>167</v>
      </c>
      <c r="B7" s="87" t="s">
        <v>65</v>
      </c>
      <c r="C7" s="194">
        <f>[24]ESTIMATE!G15</f>
        <v>10.72</v>
      </c>
      <c r="D7" s="195" t="s">
        <v>164</v>
      </c>
      <c r="E7" s="194">
        <f>[24]ESTIMATE!I15</f>
        <v>1756.4</v>
      </c>
      <c r="F7" s="197">
        <f t="shared" si="0"/>
        <v>18828.61</v>
      </c>
    </row>
    <row r="8" spans="1:6" ht="80.45" customHeight="1">
      <c r="A8" s="125" t="s">
        <v>168</v>
      </c>
      <c r="B8" s="87" t="s">
        <v>169</v>
      </c>
      <c r="C8" s="194">
        <f>[24]ESTIMATE!G19</f>
        <v>12.89</v>
      </c>
      <c r="D8" s="195" t="s">
        <v>164</v>
      </c>
      <c r="E8" s="194">
        <f>[24]ESTIMATE!I19</f>
        <v>4961.7299999999996</v>
      </c>
      <c r="F8" s="197">
        <f t="shared" si="0"/>
        <v>63956.7</v>
      </c>
    </row>
    <row r="9" spans="1:6" ht="56.25" customHeight="1">
      <c r="A9" s="125" t="s">
        <v>170</v>
      </c>
      <c r="B9" s="87" t="s">
        <v>171</v>
      </c>
      <c r="C9" s="194">
        <f>[24]ESTIMATE!G23</f>
        <v>8.4600000000000009</v>
      </c>
      <c r="D9" s="76" t="s">
        <v>45</v>
      </c>
      <c r="E9" s="194">
        <f>[24]ESTIMATE!I23</f>
        <v>194.5</v>
      </c>
      <c r="F9" s="197">
        <f t="shared" si="0"/>
        <v>1645.47</v>
      </c>
    </row>
    <row r="10" spans="1:6" ht="20.25" customHeight="1">
      <c r="A10" s="86">
        <v>6</v>
      </c>
      <c r="B10" s="189" t="s">
        <v>71</v>
      </c>
      <c r="C10" s="189"/>
      <c r="D10" s="189"/>
      <c r="E10" s="189"/>
      <c r="F10" s="164"/>
    </row>
    <row r="11" spans="1:6" ht="17.25" customHeight="1">
      <c r="A11" s="130" t="s">
        <v>14</v>
      </c>
      <c r="B11" s="87" t="s">
        <v>47</v>
      </c>
      <c r="C11" s="194">
        <f>[24]ESTIMATE!G25</f>
        <v>5.5427</v>
      </c>
      <c r="D11" s="195" t="s">
        <v>164</v>
      </c>
      <c r="E11" s="196">
        <v>848.82</v>
      </c>
      <c r="F11" s="197">
        <f>ROUND(C11*E11,2)</f>
        <v>4704.75</v>
      </c>
    </row>
    <row r="12" spans="1:6" ht="16.5" customHeight="1">
      <c r="A12" s="135" t="s">
        <v>16</v>
      </c>
      <c r="B12" s="87" t="s">
        <v>172</v>
      </c>
      <c r="C12" s="194">
        <f>'[24]MATERIAL STATEMENT'!E7</f>
        <v>6.44</v>
      </c>
      <c r="D12" s="195" t="s">
        <v>164</v>
      </c>
      <c r="E12" s="196">
        <v>328.02</v>
      </c>
      <c r="F12" s="197">
        <f>ROUND(C12*E12,2)</f>
        <v>2112.4499999999998</v>
      </c>
    </row>
    <row r="13" spans="1:6" ht="18" customHeight="1">
      <c r="A13" s="135" t="s">
        <v>18</v>
      </c>
      <c r="B13" s="87" t="s">
        <v>49</v>
      </c>
      <c r="C13" s="194">
        <f>'[24]MATERIAL STATEMENT'!H7</f>
        <v>10.72</v>
      </c>
      <c r="D13" s="195" t="s">
        <v>164</v>
      </c>
      <c r="E13" s="196">
        <v>679.66</v>
      </c>
      <c r="F13" s="197">
        <f>ROUND(C13*E13,2)</f>
        <v>7285.96</v>
      </c>
    </row>
    <row r="14" spans="1:6" ht="18" customHeight="1">
      <c r="A14" s="135" t="s">
        <v>20</v>
      </c>
      <c r="B14" s="87" t="s">
        <v>50</v>
      </c>
      <c r="C14" s="194">
        <f>'[24]MATERIAL STATEMENT'!G7</f>
        <v>11.0854</v>
      </c>
      <c r="D14" s="195" t="s">
        <v>164</v>
      </c>
      <c r="E14" s="196">
        <v>447.06</v>
      </c>
      <c r="F14" s="197">
        <f>ROUND(C14*E14,2)</f>
        <v>4955.84</v>
      </c>
    </row>
    <row r="15" spans="1:6" ht="16.5" customHeight="1">
      <c r="A15" s="135" t="s">
        <v>22</v>
      </c>
      <c r="B15" s="87" t="s">
        <v>51</v>
      </c>
      <c r="C15" s="194">
        <f>'[24]MATERIAL STATEMENT'!I7</f>
        <v>17.27</v>
      </c>
      <c r="D15" s="195" t="s">
        <v>164</v>
      </c>
      <c r="E15" s="197">
        <v>117.54</v>
      </c>
      <c r="F15" s="197">
        <f>ROUND(C15*E15,2)</f>
        <v>2029.92</v>
      </c>
    </row>
    <row r="16" spans="1:6" ht="20.45" customHeight="1">
      <c r="A16" s="199"/>
      <c r="B16" s="199"/>
      <c r="C16" s="205"/>
      <c r="D16" s="205"/>
      <c r="E16" s="206" t="s">
        <v>24</v>
      </c>
      <c r="F16" s="207">
        <f>SUM(F5:F15)</f>
        <v>111938.06999999999</v>
      </c>
    </row>
    <row r="17" spans="1:6" ht="20.25" customHeight="1">
      <c r="A17" s="203"/>
      <c r="B17" s="208"/>
      <c r="C17" s="414" t="s">
        <v>177</v>
      </c>
      <c r="D17" s="412"/>
      <c r="E17" s="413"/>
      <c r="F17" s="99">
        <f>ROUND(F16*18%,2)</f>
        <v>20148.849999999999</v>
      </c>
    </row>
    <row r="18" spans="1:6" ht="15.75">
      <c r="A18" s="203"/>
      <c r="B18" s="412" t="s">
        <v>24</v>
      </c>
      <c r="C18" s="412"/>
      <c r="D18" s="412"/>
      <c r="E18" s="413"/>
      <c r="F18" s="99">
        <f>F16+F17</f>
        <v>132086.91999999998</v>
      </c>
    </row>
    <row r="19" spans="1:6" ht="15.75" customHeight="1">
      <c r="A19" s="414" t="s">
        <v>173</v>
      </c>
      <c r="B19" s="412"/>
      <c r="C19" s="412"/>
      <c r="D19" s="412"/>
      <c r="E19" s="413"/>
      <c r="F19" s="107">
        <f>ROUND(F18*1%,2)</f>
        <v>1320.87</v>
      </c>
    </row>
    <row r="20" spans="1:6" ht="15.75">
      <c r="A20" s="402" t="s">
        <v>174</v>
      </c>
      <c r="B20" s="403"/>
      <c r="C20" s="403"/>
      <c r="D20" s="403"/>
      <c r="E20" s="404"/>
      <c r="F20" s="108">
        <f>F18+F19</f>
        <v>133407.78999999998</v>
      </c>
    </row>
    <row r="21" spans="1:6" ht="18">
      <c r="A21" s="405" t="s">
        <v>175</v>
      </c>
      <c r="B21" s="406"/>
      <c r="C21" s="406"/>
      <c r="D21" s="406"/>
      <c r="E21" s="407"/>
      <c r="F21" s="181">
        <v>133408</v>
      </c>
    </row>
    <row r="22" spans="1:6">
      <c r="A22" s="209"/>
      <c r="B22" s="210"/>
      <c r="C22" s="209"/>
      <c r="D22" s="209"/>
      <c r="E22" s="209"/>
      <c r="F22" s="209"/>
    </row>
    <row r="26" spans="1:6" ht="23.25">
      <c r="A26" s="415"/>
      <c r="B26" s="415"/>
      <c r="C26" s="415"/>
      <c r="D26" s="415"/>
      <c r="E26" s="415"/>
      <c r="F26" s="415"/>
    </row>
    <row r="27" spans="1:6" ht="23.25">
      <c r="A27" s="415"/>
      <c r="B27" s="415"/>
      <c r="C27" s="415"/>
      <c r="D27" s="415"/>
      <c r="E27" s="415"/>
      <c r="F27" s="415"/>
    </row>
  </sheetData>
  <mergeCells count="10">
    <mergeCell ref="A20:E20"/>
    <mergeCell ref="A21:E21"/>
    <mergeCell ref="A26:F26"/>
    <mergeCell ref="A27:F27"/>
    <mergeCell ref="B1:F1"/>
    <mergeCell ref="B2:F2"/>
    <mergeCell ref="B3:F3"/>
    <mergeCell ref="C17:E17"/>
    <mergeCell ref="B18:E18"/>
    <mergeCell ref="A19:E19"/>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13.5703125" customWidth="1"/>
    <col min="2" max="2" width="48" customWidth="1"/>
    <col min="3" max="3" width="10.7109375" customWidth="1"/>
    <col min="5" max="5" width="10.5703125" bestFit="1" customWidth="1"/>
    <col min="6" max="6" width="23.28515625" customWidth="1"/>
  </cols>
  <sheetData>
    <row r="1" spans="1:6" ht="37.15" customHeight="1">
      <c r="A1" s="422" t="s">
        <v>0</v>
      </c>
      <c r="B1" s="422"/>
      <c r="C1" s="422"/>
      <c r="D1" s="422"/>
      <c r="E1" s="422"/>
      <c r="F1" s="422"/>
    </row>
    <row r="2" spans="1:6" ht="30.6" customHeight="1">
      <c r="A2" s="95"/>
      <c r="B2" s="423" t="s">
        <v>83</v>
      </c>
      <c r="C2" s="329"/>
      <c r="D2" s="329"/>
      <c r="E2" s="329"/>
      <c r="F2" s="329"/>
    </row>
    <row r="3" spans="1:6" ht="40.5" customHeight="1">
      <c r="A3" s="330" t="s">
        <v>178</v>
      </c>
      <c r="B3" s="424"/>
      <c r="C3" s="424"/>
      <c r="D3" s="424"/>
      <c r="E3" s="424"/>
      <c r="F3" s="425"/>
    </row>
    <row r="4" spans="1:6" ht="31.9" customHeight="1">
      <c r="A4" s="30" t="s">
        <v>85</v>
      </c>
      <c r="B4" s="30" t="s">
        <v>86</v>
      </c>
      <c r="C4" s="30" t="s">
        <v>4</v>
      </c>
      <c r="D4" s="30" t="s">
        <v>5</v>
      </c>
      <c r="E4" s="30" t="s">
        <v>87</v>
      </c>
      <c r="F4" s="30" t="s">
        <v>88</v>
      </c>
    </row>
    <row r="5" spans="1:6" ht="148.9" customHeight="1">
      <c r="A5" s="76" t="s">
        <v>179</v>
      </c>
      <c r="B5" s="103" t="s">
        <v>180</v>
      </c>
      <c r="C5" s="105">
        <f>[25]ESTIMATE!G7</f>
        <v>16.7</v>
      </c>
      <c r="D5" s="97" t="s">
        <v>8</v>
      </c>
      <c r="E5" s="97">
        <f>[25]ESTIMATE!I7</f>
        <v>151.82</v>
      </c>
      <c r="F5" s="105">
        <f>ROUND(C5*E5,2)</f>
        <v>2535.39</v>
      </c>
    </row>
    <row r="6" spans="1:6" ht="141.75">
      <c r="A6" s="76" t="s">
        <v>181</v>
      </c>
      <c r="B6" s="103" t="s">
        <v>10</v>
      </c>
      <c r="C6" s="194">
        <f>[25]ESTIMATE!G11</f>
        <v>6.23</v>
      </c>
      <c r="D6" s="76" t="s">
        <v>8</v>
      </c>
      <c r="E6" s="76">
        <f>[25]ESTIMATE!I11</f>
        <v>589.51</v>
      </c>
      <c r="F6" s="194">
        <f t="shared" ref="F6:F9" si="0">ROUND(C6*E6,2)</f>
        <v>3672.65</v>
      </c>
    </row>
    <row r="7" spans="1:6" ht="110.25">
      <c r="A7" s="211" t="s">
        <v>182</v>
      </c>
      <c r="B7" s="103" t="s">
        <v>183</v>
      </c>
      <c r="C7" s="194">
        <f>[25]ESTIMATE!G15</f>
        <v>10.47</v>
      </c>
      <c r="D7" s="76" t="s">
        <v>8</v>
      </c>
      <c r="E7" s="212">
        <f>[25]ESTIMATE!I15</f>
        <v>1756.4</v>
      </c>
      <c r="F7" s="194">
        <f t="shared" si="0"/>
        <v>18389.509999999998</v>
      </c>
    </row>
    <row r="8" spans="1:6" ht="63">
      <c r="A8" s="76" t="s">
        <v>184</v>
      </c>
      <c r="B8" s="103" t="s">
        <v>91</v>
      </c>
      <c r="C8" s="194">
        <f>[25]ESTIMATE!G21</f>
        <v>54.839999999999996</v>
      </c>
      <c r="D8" s="76" t="s">
        <v>45</v>
      </c>
      <c r="E8" s="194">
        <f>[25]ESTIMATE!I21</f>
        <v>194.5</v>
      </c>
      <c r="F8" s="194">
        <f t="shared" si="0"/>
        <v>10666.38</v>
      </c>
    </row>
    <row r="9" spans="1:6" ht="141.75">
      <c r="A9" s="76" t="s">
        <v>92</v>
      </c>
      <c r="B9" s="103" t="s">
        <v>93</v>
      </c>
      <c r="C9" s="197">
        <f>[25]ESTIMATE!G26</f>
        <v>77.03</v>
      </c>
      <c r="D9" s="76" t="s">
        <v>8</v>
      </c>
      <c r="E9" s="197">
        <f>[25]ESTIMATE!I26</f>
        <v>4961.7299999999996</v>
      </c>
      <c r="F9" s="194">
        <f t="shared" si="0"/>
        <v>382202.06</v>
      </c>
    </row>
    <row r="10" spans="1:6" ht="18" customHeight="1">
      <c r="A10" s="97">
        <v>7</v>
      </c>
      <c r="B10" s="189" t="s">
        <v>13</v>
      </c>
      <c r="C10" s="194"/>
      <c r="D10" s="206"/>
      <c r="E10" s="206"/>
      <c r="F10" s="194"/>
    </row>
    <row r="11" spans="1:6" ht="19.5" customHeight="1">
      <c r="A11" s="97"/>
      <c r="B11" s="190" t="s">
        <v>185</v>
      </c>
      <c r="C11" s="194">
        <f>[25]MATERIAL!F7</f>
        <v>33.119999999999997</v>
      </c>
      <c r="D11" s="76" t="s">
        <v>8</v>
      </c>
      <c r="E11" s="212">
        <v>848.82</v>
      </c>
      <c r="F11" s="194">
        <f>ROUND(C11*E11,2)</f>
        <v>28112.92</v>
      </c>
    </row>
    <row r="12" spans="1:6" ht="15.75">
      <c r="A12" s="97"/>
      <c r="B12" s="213" t="s">
        <v>186</v>
      </c>
      <c r="C12" s="194">
        <f>PRODUCT([25]MATERIAL!G7)</f>
        <v>6.23</v>
      </c>
      <c r="D12" s="76" t="s">
        <v>8</v>
      </c>
      <c r="E12" s="212">
        <v>328.02</v>
      </c>
      <c r="F12" s="194">
        <f>ROUND(C12*E12,2)</f>
        <v>2043.56</v>
      </c>
    </row>
    <row r="13" spans="1:6" ht="21.75" customHeight="1">
      <c r="A13" s="97"/>
      <c r="B13" s="190" t="s">
        <v>187</v>
      </c>
      <c r="C13" s="194">
        <f>PRODUCT([25]MATERIAL!H7)</f>
        <v>66.25</v>
      </c>
      <c r="D13" s="76" t="s">
        <v>8</v>
      </c>
      <c r="E13" s="212">
        <v>447.06</v>
      </c>
      <c r="F13" s="194">
        <f>ROUND(C13*E13,2)</f>
        <v>29617.73</v>
      </c>
    </row>
    <row r="14" spans="1:6" ht="15.75">
      <c r="A14" s="214"/>
      <c r="B14" s="215" t="s">
        <v>188</v>
      </c>
      <c r="C14" s="197">
        <f>PRODUCT([25]MATERIAL!I7)</f>
        <v>10.47</v>
      </c>
      <c r="D14" s="197" t="s">
        <v>8</v>
      </c>
      <c r="E14" s="197">
        <v>679.66</v>
      </c>
      <c r="F14" s="197">
        <f>PRODUCT(C14:E14)</f>
        <v>7116.0402000000004</v>
      </c>
    </row>
    <row r="15" spans="1:6" ht="19.5" customHeight="1">
      <c r="A15" s="97"/>
      <c r="B15" s="190" t="s">
        <v>189</v>
      </c>
      <c r="C15" s="194">
        <f>PRODUCT([25]MATERIAL!J7)</f>
        <v>16.7</v>
      </c>
      <c r="D15" s="76" t="s">
        <v>8</v>
      </c>
      <c r="E15" s="212">
        <v>117.54</v>
      </c>
      <c r="F15" s="194">
        <f>ROUND(C15*E15,2)</f>
        <v>1962.92</v>
      </c>
    </row>
    <row r="16" spans="1:6" ht="15.75">
      <c r="A16" s="216"/>
      <c r="B16" s="217"/>
      <c r="C16" s="416" t="s">
        <v>24</v>
      </c>
      <c r="D16" s="417"/>
      <c r="E16" s="418"/>
      <c r="F16" s="105">
        <f>SUM(F5:F15)</f>
        <v>486319.16019999993</v>
      </c>
    </row>
    <row r="17" spans="1:6" ht="15.75">
      <c r="A17" s="216"/>
      <c r="B17" s="217"/>
      <c r="C17" s="416" t="s">
        <v>25</v>
      </c>
      <c r="D17" s="417"/>
      <c r="E17" s="418"/>
      <c r="F17" s="105">
        <f>ROUND(F16*18%,2)</f>
        <v>87537.45</v>
      </c>
    </row>
    <row r="18" spans="1:6" ht="15.75">
      <c r="A18" s="216"/>
      <c r="B18" s="217"/>
      <c r="C18" s="416" t="s">
        <v>24</v>
      </c>
      <c r="D18" s="417"/>
      <c r="E18" s="418"/>
      <c r="F18" s="105">
        <f>SUM(F16:F17)</f>
        <v>573856.61019999988</v>
      </c>
    </row>
    <row r="19" spans="1:6" ht="15.75">
      <c r="A19" s="216"/>
      <c r="B19" s="217"/>
      <c r="C19" s="416" t="s">
        <v>35</v>
      </c>
      <c r="D19" s="417"/>
      <c r="E19" s="418"/>
      <c r="F19" s="105">
        <f>ROUND(F18*0.01,2)</f>
        <v>5738.57</v>
      </c>
    </row>
    <row r="20" spans="1:6" ht="15.75">
      <c r="A20" s="216"/>
      <c r="B20" s="218"/>
      <c r="C20" s="419" t="s">
        <v>96</v>
      </c>
      <c r="D20" s="420"/>
      <c r="E20" s="421"/>
      <c r="F20" s="105">
        <f>SUM(F18:F19)</f>
        <v>579595.18019999983</v>
      </c>
    </row>
    <row r="21" spans="1:6" ht="18">
      <c r="A21" s="216"/>
      <c r="B21" s="218"/>
      <c r="C21" s="419" t="s">
        <v>27</v>
      </c>
      <c r="D21" s="420"/>
      <c r="E21" s="421"/>
      <c r="F21" s="181">
        <v>579596</v>
      </c>
    </row>
  </sheetData>
  <mergeCells count="9">
    <mergeCell ref="C19:E19"/>
    <mergeCell ref="C20:E20"/>
    <mergeCell ref="C21:E21"/>
    <mergeCell ref="A1:F1"/>
    <mergeCell ref="B2:F2"/>
    <mergeCell ref="A3:F3"/>
    <mergeCell ref="C16:E16"/>
    <mergeCell ref="C17:E17"/>
    <mergeCell ref="C18:E18"/>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ColWidth="9.140625" defaultRowHeight="15"/>
  <cols>
    <col min="1" max="1" width="9.28515625" style="88" bestFit="1" customWidth="1"/>
    <col min="2" max="2" width="42.28515625" style="89" customWidth="1"/>
    <col min="3" max="3" width="9.28515625" style="75" bestFit="1" customWidth="1"/>
    <col min="4" max="4" width="9.140625" style="90"/>
    <col min="5" max="5" width="10.85546875" style="75" bestFit="1" customWidth="1"/>
    <col min="6" max="6" width="19" style="94" bestFit="1" customWidth="1"/>
    <col min="7" max="16384" width="9.140625" style="75"/>
  </cols>
  <sheetData>
    <row r="1" spans="1:6" ht="36.6" customHeight="1">
      <c r="A1" s="306" t="s">
        <v>0</v>
      </c>
      <c r="B1" s="306"/>
      <c r="C1" s="306"/>
      <c r="D1" s="306"/>
      <c r="E1" s="306"/>
      <c r="F1" s="306"/>
    </row>
    <row r="2" spans="1:6" ht="34.15" customHeight="1">
      <c r="A2" s="305" t="s">
        <v>38</v>
      </c>
      <c r="B2" s="305"/>
      <c r="C2" s="305"/>
      <c r="D2" s="305"/>
      <c r="E2" s="305"/>
      <c r="F2" s="305"/>
    </row>
    <row r="3" spans="1:6" ht="42.75" customHeight="1">
      <c r="A3" s="311" t="s">
        <v>190</v>
      </c>
      <c r="B3" s="312"/>
      <c r="C3" s="312"/>
      <c r="D3" s="312"/>
      <c r="E3" s="312"/>
      <c r="F3" s="313"/>
    </row>
    <row r="4" spans="1:6" ht="34.5" customHeight="1">
      <c r="A4" s="76" t="s">
        <v>39</v>
      </c>
      <c r="B4" s="76" t="s">
        <v>40</v>
      </c>
      <c r="C4" s="76" t="s">
        <v>41</v>
      </c>
      <c r="D4" s="76" t="s">
        <v>5</v>
      </c>
      <c r="E4" s="76" t="s">
        <v>42</v>
      </c>
      <c r="F4" s="76" t="s">
        <v>43</v>
      </c>
    </row>
    <row r="5" spans="1:6" ht="156.75">
      <c r="A5" s="194" t="s">
        <v>191</v>
      </c>
      <c r="B5" s="194" t="s">
        <v>93</v>
      </c>
      <c r="C5" s="194">
        <f>[26]ESTIMATE!G7</f>
        <v>45.88</v>
      </c>
      <c r="D5" s="194" t="s">
        <v>44</v>
      </c>
      <c r="E5" s="194">
        <f>[26]ESTIMATE!I7</f>
        <v>4961.7299999999996</v>
      </c>
      <c r="F5" s="194">
        <f t="shared" ref="F5:F9" si="0">ROUND(C5*E5,2)</f>
        <v>227644.17</v>
      </c>
    </row>
    <row r="6" spans="1:6" ht="71.25">
      <c r="A6" s="194" t="s">
        <v>192</v>
      </c>
      <c r="B6" s="194" t="s">
        <v>193</v>
      </c>
      <c r="C6" s="194">
        <f>[26]ESTIMATE!G13</f>
        <v>33.46</v>
      </c>
      <c r="D6" s="194"/>
      <c r="E6" s="194">
        <f>[26]ESTIMATE!I13</f>
        <v>194.5</v>
      </c>
      <c r="F6" s="194">
        <f t="shared" si="0"/>
        <v>6507.97</v>
      </c>
    </row>
    <row r="7" spans="1:6">
      <c r="A7" s="194"/>
      <c r="B7" s="194" t="s">
        <v>46</v>
      </c>
      <c r="C7" s="194"/>
      <c r="D7" s="194"/>
      <c r="E7" s="194"/>
      <c r="F7" s="194"/>
    </row>
    <row r="8" spans="1:6">
      <c r="A8" s="194"/>
      <c r="B8" s="194" t="s">
        <v>194</v>
      </c>
      <c r="C8" s="194">
        <f>[26]ESTIMATE!G17</f>
        <v>19.73</v>
      </c>
      <c r="D8" s="194" t="s">
        <v>61</v>
      </c>
      <c r="E8" s="194">
        <f>[26]ESTIMATE!I17</f>
        <v>848.82</v>
      </c>
      <c r="F8" s="194">
        <f t="shared" si="0"/>
        <v>16747.22</v>
      </c>
    </row>
    <row r="9" spans="1:6">
      <c r="A9" s="194"/>
      <c r="B9" s="194" t="s">
        <v>195</v>
      </c>
      <c r="C9" s="194">
        <f>[26]ESTIMATE!G18</f>
        <v>39.46</v>
      </c>
      <c r="D9" s="194" t="s">
        <v>61</v>
      </c>
      <c r="E9" s="194">
        <f>[26]ESTIMATE!I18</f>
        <v>447.06</v>
      </c>
      <c r="F9" s="194">
        <f t="shared" si="0"/>
        <v>17640.990000000002</v>
      </c>
    </row>
    <row r="10" spans="1:6" ht="15.75">
      <c r="C10" s="416" t="s">
        <v>24</v>
      </c>
      <c r="D10" s="417"/>
      <c r="E10" s="418"/>
      <c r="F10" s="105">
        <f>SUM(F5:F9)</f>
        <v>268540.35000000003</v>
      </c>
    </row>
    <row r="11" spans="1:6" ht="15.75">
      <c r="C11" s="416" t="s">
        <v>25</v>
      </c>
      <c r="D11" s="417"/>
      <c r="E11" s="418"/>
      <c r="F11" s="105">
        <f>ROUND(F10*18%,2)</f>
        <v>48337.26</v>
      </c>
    </row>
    <row r="12" spans="1:6" ht="15.75">
      <c r="C12" s="416" t="s">
        <v>24</v>
      </c>
      <c r="D12" s="417"/>
      <c r="E12" s="418"/>
      <c r="F12" s="105">
        <f>SUM(F10:F11)</f>
        <v>316877.61000000004</v>
      </c>
    </row>
    <row r="13" spans="1:6" ht="15.75">
      <c r="C13" s="416" t="s">
        <v>35</v>
      </c>
      <c r="D13" s="417"/>
      <c r="E13" s="418"/>
      <c r="F13" s="105">
        <f>ROUND(F12*0.01,2)</f>
        <v>3168.78</v>
      </c>
    </row>
    <row r="14" spans="1:6" ht="15.75">
      <c r="C14" s="419" t="s">
        <v>96</v>
      </c>
      <c r="D14" s="420"/>
      <c r="E14" s="421"/>
      <c r="F14" s="105">
        <f>SUM(F12:F13)</f>
        <v>320046.39000000007</v>
      </c>
    </row>
    <row r="15" spans="1:6" ht="18">
      <c r="C15" s="419" t="s">
        <v>27</v>
      </c>
      <c r="D15" s="420"/>
      <c r="E15" s="421"/>
      <c r="F15" s="181">
        <v>320047</v>
      </c>
    </row>
  </sheetData>
  <mergeCells count="9">
    <mergeCell ref="C13:E13"/>
    <mergeCell ref="C14:E14"/>
    <mergeCell ref="C15:E15"/>
    <mergeCell ref="A1:F1"/>
    <mergeCell ref="A2:F2"/>
    <mergeCell ref="A3:F3"/>
    <mergeCell ref="C10:E10"/>
    <mergeCell ref="C11:E11"/>
    <mergeCell ref="C12: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ColWidth="9.140625" defaultRowHeight="15"/>
  <cols>
    <col min="1" max="1" width="9.28515625" style="88" bestFit="1" customWidth="1"/>
    <col min="2" max="2" width="42.28515625" style="89" customWidth="1"/>
    <col min="3" max="3" width="9.140625" style="75" customWidth="1"/>
    <col min="4" max="4" width="9.140625" style="90"/>
    <col min="5" max="5" width="11.28515625" style="91" bestFit="1" customWidth="1"/>
    <col min="6" max="6" width="16.42578125" style="91" customWidth="1"/>
    <col min="7" max="16384" width="9.140625" style="75"/>
  </cols>
  <sheetData>
    <row r="1" spans="1:6" ht="60.75" customHeight="1">
      <c r="A1" s="305" t="s">
        <v>0</v>
      </c>
      <c r="B1" s="305"/>
      <c r="C1" s="305"/>
      <c r="D1" s="305"/>
      <c r="E1" s="305"/>
      <c r="F1" s="305"/>
    </row>
    <row r="2" spans="1:6" ht="36" customHeight="1">
      <c r="A2" s="306" t="s">
        <v>38</v>
      </c>
      <c r="B2" s="306"/>
      <c r="C2" s="306"/>
      <c r="D2" s="306"/>
      <c r="E2" s="306"/>
      <c r="F2" s="306"/>
    </row>
    <row r="3" spans="1:6" ht="55.5" customHeight="1">
      <c r="A3" s="310" t="str">
        <f>[3]Sheet1!A3</f>
        <v>Name of Work :- Construction of PCC Road at Kokar,Khorhatoli,Anand Nagar from Khorhatoli Bridge to Pani Tanki under ward no-07</v>
      </c>
      <c r="B3" s="310"/>
      <c r="C3" s="310"/>
      <c r="D3" s="310"/>
      <c r="E3" s="310"/>
      <c r="F3" s="310"/>
    </row>
    <row r="4" spans="1:6">
      <c r="A4" s="76" t="s">
        <v>39</v>
      </c>
      <c r="B4" s="76" t="s">
        <v>40</v>
      </c>
      <c r="C4" s="76" t="s">
        <v>41</v>
      </c>
      <c r="D4" s="76" t="s">
        <v>5</v>
      </c>
      <c r="E4" s="77" t="s">
        <v>42</v>
      </c>
      <c r="F4" s="77" t="s">
        <v>43</v>
      </c>
    </row>
    <row r="5" spans="1:6" ht="120">
      <c r="A5" s="78" t="str">
        <f>[3]Sheet1!A5</f>
        <v>1.            5.1.1</v>
      </c>
      <c r="B5" s="79" t="str">
        <f>[3]Sheet1!B5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80">
        <f>[3]Sheet1!G8</f>
        <v>38.229999999999997</v>
      </c>
      <c r="D5" s="81" t="str">
        <f>D6</f>
        <v>M3</v>
      </c>
      <c r="E5" s="82">
        <f>[3]Sheet1!I8</f>
        <v>151.82</v>
      </c>
      <c r="F5" s="82">
        <f>ROUND((C5*E5),2)</f>
        <v>5804.08</v>
      </c>
    </row>
    <row r="6" spans="1:6" ht="120">
      <c r="A6" s="78" t="str">
        <f>[3]Sheet1!A9</f>
        <v>2  4/M004</v>
      </c>
      <c r="B6" s="79" t="str">
        <f>[3]Sheet1!B9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80">
        <f>[3]Sheet1!G12</f>
        <v>5.66</v>
      </c>
      <c r="D6" s="81" t="s">
        <v>44</v>
      </c>
      <c r="E6" s="82">
        <f>[3]Sheet1!I12</f>
        <v>347.85</v>
      </c>
      <c r="F6" s="82">
        <f t="shared" ref="F6:F14" si="0">ROUND((C6*E6),2)</f>
        <v>1968.83</v>
      </c>
    </row>
    <row r="7" spans="1:6" ht="90">
      <c r="A7" s="78" t="str">
        <f>[3]Sheet1!A13</f>
        <v>3 5.6.8WRD</v>
      </c>
      <c r="B7" s="79" t="str">
        <f>[3]Sheet1!B13</f>
        <v>Supplying and laying (properly as per design and drawing) rip-rap with good  quality of boulders duly packed including the cost of materials, royalty all taxes etc. but excluding the cost of carriage all complete as per specification and direction of E/I.</v>
      </c>
      <c r="C7" s="80">
        <f>[3]Sheet1!G16</f>
        <v>14.51</v>
      </c>
      <c r="D7" s="81" t="s">
        <v>44</v>
      </c>
      <c r="E7" s="82">
        <f>[3]Sheet1!I16</f>
        <v>1756.4</v>
      </c>
      <c r="F7" s="82">
        <f t="shared" si="0"/>
        <v>25485.360000000001</v>
      </c>
    </row>
    <row r="8" spans="1:6" ht="90">
      <c r="A8" s="78" t="str">
        <f>[3]Sheet1!A17</f>
        <v>4 5.3.1.1</v>
      </c>
      <c r="B8" s="79" t="str">
        <f>[3]Sheet1!B17</f>
        <v>Providing and laying in position cement concrete of specified grade excluding the cost of centering and shuttering - All work up to plinth level1:1.5:3 (1 Cement : 1.5 coarse sand zone(III): 3 graded stone aggregate 20mm nominal size)</v>
      </c>
      <c r="C8" s="80">
        <f>[3]Sheet1!G20</f>
        <v>80.69</v>
      </c>
      <c r="D8" s="81" t="s">
        <v>44</v>
      </c>
      <c r="E8" s="82">
        <f>[3]Sheet1!I20</f>
        <v>4961.7299999999996</v>
      </c>
      <c r="F8" s="82">
        <f t="shared" si="0"/>
        <v>400361.99</v>
      </c>
    </row>
    <row r="9" spans="1:6" ht="60">
      <c r="A9" s="78" t="str">
        <f>[3]Sheet1!A21</f>
        <v>55.3.17.1</v>
      </c>
      <c r="B9" s="79" t="str">
        <f>[3]Sheet1!B21</f>
        <v>Centering and Shuttering including strutting, propping etc and removal of from for   Foundation , footing , bases of columns etc for mass concrete.</v>
      </c>
      <c r="C9" s="80">
        <f>[3]Sheet1!G24</f>
        <v>48.14</v>
      </c>
      <c r="D9" s="81" t="s">
        <v>45</v>
      </c>
      <c r="E9" s="82">
        <f>[3]Sheet1!I24</f>
        <v>194.5</v>
      </c>
      <c r="F9" s="82">
        <f t="shared" si="0"/>
        <v>9363.23</v>
      </c>
    </row>
    <row r="10" spans="1:6">
      <c r="A10" s="83">
        <v>6</v>
      </c>
      <c r="B10" s="84" t="s">
        <v>46</v>
      </c>
      <c r="C10" s="85"/>
      <c r="D10" s="81"/>
      <c r="E10" s="82"/>
      <c r="F10" s="82"/>
    </row>
    <row r="11" spans="1:6">
      <c r="A11" s="86" t="s">
        <v>14</v>
      </c>
      <c r="B11" s="87" t="str">
        <f>[3]Sheet1!B26</f>
        <v>Sand  (Lead Upto 49 km)</v>
      </c>
      <c r="C11" s="80">
        <f>[3]Sheet1!G26</f>
        <v>34.700000000000003</v>
      </c>
      <c r="D11" s="81" t="s">
        <v>44</v>
      </c>
      <c r="E11" s="92">
        <f>[3]Sheet1!I26</f>
        <v>848.82</v>
      </c>
      <c r="F11" s="82">
        <f t="shared" si="0"/>
        <v>29454.05</v>
      </c>
    </row>
    <row r="12" spans="1:6">
      <c r="A12" s="86" t="s">
        <v>16</v>
      </c>
      <c r="B12" s="87" t="str">
        <f>[3]Sheet1!B27</f>
        <v>Stone Dust (Lead 22 KM)</v>
      </c>
      <c r="C12" s="79">
        <f>[3]Sheet1!G27</f>
        <v>5.66</v>
      </c>
      <c r="D12" s="81" t="s">
        <v>44</v>
      </c>
      <c r="E12" s="92">
        <f>[3]Sheet1!I27</f>
        <v>447.06</v>
      </c>
      <c r="F12" s="82">
        <f t="shared" si="0"/>
        <v>2530.36</v>
      </c>
    </row>
    <row r="13" spans="1:6">
      <c r="A13" s="86" t="s">
        <v>18</v>
      </c>
      <c r="B13" s="87" t="str">
        <f>[3]Sheet1!B28</f>
        <v>Stone Boulder (Lead 36  KM)</v>
      </c>
      <c r="C13" s="80">
        <f>[3]Sheet1!G28</f>
        <v>14.51</v>
      </c>
      <c r="D13" s="81" t="s">
        <v>44</v>
      </c>
      <c r="E13" s="92">
        <f>[3]Sheet1!I28</f>
        <v>679.66</v>
      </c>
      <c r="F13" s="82">
        <f t="shared" si="0"/>
        <v>9861.8700000000008</v>
      </c>
    </row>
    <row r="14" spans="1:6">
      <c r="A14" s="86" t="s">
        <v>20</v>
      </c>
      <c r="B14" s="87" t="str">
        <f>[3]Sheet1!B29</f>
        <v>Stone Chips (Lead 22KM)</v>
      </c>
      <c r="C14" s="80">
        <f>[3]Sheet1!G29</f>
        <v>69.39</v>
      </c>
      <c r="D14" s="81" t="s">
        <v>44</v>
      </c>
      <c r="E14" s="92">
        <f>[3]Sheet1!I29</f>
        <v>447.06</v>
      </c>
      <c r="F14" s="82">
        <f t="shared" si="0"/>
        <v>31021.49</v>
      </c>
    </row>
    <row r="15" spans="1:6">
      <c r="A15" s="86" t="s">
        <v>22</v>
      </c>
      <c r="B15" s="87" t="str">
        <f>[3]Sheet1!B30</f>
        <v>Earth (Lead 01 KM)</v>
      </c>
      <c r="C15" s="79">
        <f>[3]Sheet1!G30</f>
        <v>38.229999999999997</v>
      </c>
      <c r="D15" s="81" t="s">
        <v>44</v>
      </c>
      <c r="E15" s="92">
        <f>[3]Sheet1!I30</f>
        <v>117.54</v>
      </c>
      <c r="F15" s="82">
        <f>ROUND((C15*E15),2)</f>
        <v>4493.55</v>
      </c>
    </row>
    <row r="16" spans="1:6" ht="18.75">
      <c r="A16" s="83"/>
      <c r="B16" s="84"/>
      <c r="C16" s="85"/>
      <c r="D16" s="81"/>
      <c r="E16" s="82" t="s">
        <v>52</v>
      </c>
      <c r="F16" s="44">
        <f>SUM(F5:F15)</f>
        <v>520344.80999999994</v>
      </c>
    </row>
    <row r="17" spans="1:6" ht="18.75">
      <c r="A17" s="304" t="s">
        <v>53</v>
      </c>
      <c r="B17" s="304"/>
      <c r="C17" s="304"/>
      <c r="D17" s="304"/>
      <c r="E17" s="304"/>
      <c r="F17" s="44">
        <f>ROUND((F16*18%),2)</f>
        <v>93662.07</v>
      </c>
    </row>
    <row r="18" spans="1:6" ht="18.75">
      <c r="A18" s="304" t="s">
        <v>24</v>
      </c>
      <c r="B18" s="304" t="s">
        <v>24</v>
      </c>
      <c r="C18" s="304"/>
      <c r="D18" s="304"/>
      <c r="E18" s="304"/>
      <c r="F18" s="44">
        <f>F16+F17</f>
        <v>614006.87999999989</v>
      </c>
    </row>
    <row r="19" spans="1:6" ht="18.75">
      <c r="A19" s="304" t="s">
        <v>54</v>
      </c>
      <c r="B19" s="304" t="s">
        <v>55</v>
      </c>
      <c r="C19" s="304"/>
      <c r="D19" s="304"/>
      <c r="E19" s="304"/>
      <c r="F19" s="44">
        <f>ROUND((F18*1%),2)</f>
        <v>6140.07</v>
      </c>
    </row>
    <row r="20" spans="1:6" ht="18.75">
      <c r="A20" s="304" t="s">
        <v>24</v>
      </c>
      <c r="B20" s="304" t="s">
        <v>24</v>
      </c>
      <c r="C20" s="304"/>
      <c r="D20" s="304"/>
      <c r="E20" s="304"/>
      <c r="F20" s="44">
        <f>F18+F19</f>
        <v>620146.94999999984</v>
      </c>
    </row>
    <row r="21" spans="1:6" ht="18.75">
      <c r="A21" s="304" t="s">
        <v>27</v>
      </c>
      <c r="B21" s="304" t="s">
        <v>27</v>
      </c>
      <c r="C21" s="304"/>
      <c r="D21" s="304"/>
      <c r="E21" s="304"/>
      <c r="F21" s="44">
        <f>ROUND((F20),0)</f>
        <v>620147</v>
      </c>
    </row>
  </sheetData>
  <mergeCells count="8">
    <mergeCell ref="A20:E20"/>
    <mergeCell ref="A21:E21"/>
    <mergeCell ref="A1:F1"/>
    <mergeCell ref="A2:F2"/>
    <mergeCell ref="A3:F3"/>
    <mergeCell ref="A17:E17"/>
    <mergeCell ref="A18:E18"/>
    <mergeCell ref="A19:E19"/>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ColWidth="9.140625" defaultRowHeight="15"/>
  <cols>
    <col min="1" max="1" width="9.28515625" style="88" bestFit="1" customWidth="1"/>
    <col min="2" max="2" width="42.28515625" style="89" customWidth="1"/>
    <col min="3" max="3" width="9.28515625" style="75" bestFit="1" customWidth="1"/>
    <col min="4" max="4" width="9.140625" style="90"/>
    <col min="5" max="5" width="10.85546875" style="75" bestFit="1" customWidth="1"/>
    <col min="6" max="6" width="19" style="94" bestFit="1" customWidth="1"/>
    <col min="7" max="16384" width="9.140625" style="75"/>
  </cols>
  <sheetData>
    <row r="1" spans="1:6" ht="39.6" customHeight="1">
      <c r="A1" s="306" t="s">
        <v>0</v>
      </c>
      <c r="B1" s="306"/>
      <c r="C1" s="306"/>
      <c r="D1" s="306"/>
      <c r="E1" s="306"/>
      <c r="F1" s="306"/>
    </row>
    <row r="2" spans="1:6" ht="28.15" customHeight="1">
      <c r="A2" s="306" t="s">
        <v>38</v>
      </c>
      <c r="B2" s="306"/>
      <c r="C2" s="306"/>
      <c r="D2" s="306"/>
      <c r="E2" s="306"/>
      <c r="F2" s="306"/>
    </row>
    <row r="3" spans="1:6" ht="42" customHeight="1">
      <c r="A3" s="310" t="s">
        <v>196</v>
      </c>
      <c r="B3" s="310"/>
      <c r="C3" s="310"/>
      <c r="D3" s="310"/>
      <c r="E3" s="310"/>
      <c r="F3" s="310"/>
    </row>
    <row r="4" spans="1:6" ht="30.75" customHeight="1">
      <c r="A4" s="76" t="s">
        <v>39</v>
      </c>
      <c r="B4" s="76" t="s">
        <v>40</v>
      </c>
      <c r="C4" s="76" t="s">
        <v>41</v>
      </c>
      <c r="D4" s="76" t="s">
        <v>5</v>
      </c>
      <c r="E4" s="76" t="s">
        <v>42</v>
      </c>
      <c r="F4" s="76" t="s">
        <v>43</v>
      </c>
    </row>
    <row r="5" spans="1:6" ht="125.25" customHeight="1">
      <c r="A5" s="79" t="s">
        <v>191</v>
      </c>
      <c r="B5" s="219" t="s">
        <v>93</v>
      </c>
      <c r="C5" s="194">
        <f>[27]ESTIMATE!G7</f>
        <v>49.56</v>
      </c>
      <c r="D5" s="194" t="s">
        <v>44</v>
      </c>
      <c r="E5" s="194">
        <f>[27]ESTIMATE!I7</f>
        <v>4961.7299999999996</v>
      </c>
      <c r="F5" s="194">
        <f t="shared" ref="F5:F9" si="0">ROUND(C5*E5,2)</f>
        <v>245903.34</v>
      </c>
    </row>
    <row r="6" spans="1:6" ht="71.25">
      <c r="A6" s="79" t="s">
        <v>192</v>
      </c>
      <c r="B6" s="220" t="s">
        <v>193</v>
      </c>
      <c r="C6" s="194">
        <f>[27]ESTIMATE!G13</f>
        <v>32.53</v>
      </c>
      <c r="D6" s="194"/>
      <c r="E6" s="194">
        <f>[27]ESTIMATE!I13</f>
        <v>194.5</v>
      </c>
      <c r="F6" s="194">
        <f t="shared" si="0"/>
        <v>6327.09</v>
      </c>
    </row>
    <row r="7" spans="1:6" ht="18" customHeight="1">
      <c r="A7" s="81">
        <v>3</v>
      </c>
      <c r="B7" s="194" t="s">
        <v>46</v>
      </c>
      <c r="C7" s="194"/>
      <c r="D7" s="194"/>
      <c r="E7" s="194"/>
      <c r="F7" s="194"/>
    </row>
    <row r="8" spans="1:6">
      <c r="A8" s="79"/>
      <c r="B8" s="194" t="s">
        <v>197</v>
      </c>
      <c r="C8" s="194">
        <f>[27]ESTIMATE!G17</f>
        <v>21.31</v>
      </c>
      <c r="D8" s="194" t="s">
        <v>61</v>
      </c>
      <c r="E8" s="194">
        <f>[27]ESTIMATE!I17</f>
        <v>848.82</v>
      </c>
      <c r="F8" s="194">
        <f>ROUND(C8*E8,2)</f>
        <v>18088.349999999999</v>
      </c>
    </row>
    <row r="9" spans="1:6">
      <c r="A9" s="79"/>
      <c r="B9" s="194" t="s">
        <v>198</v>
      </c>
      <c r="C9" s="194">
        <f>[27]ESTIMATE!G18</f>
        <v>42.62</v>
      </c>
      <c r="D9" s="194" t="s">
        <v>61</v>
      </c>
      <c r="E9" s="194">
        <f>[27]ESTIMATE!I18</f>
        <v>447.06</v>
      </c>
      <c r="F9" s="194">
        <f t="shared" si="0"/>
        <v>19053.7</v>
      </c>
    </row>
    <row r="10" spans="1:6">
      <c r="C10" s="426" t="s">
        <v>24</v>
      </c>
      <c r="D10" s="427"/>
      <c r="E10" s="428"/>
      <c r="F10" s="194">
        <f>SUM(F5:F9)</f>
        <v>289372.48</v>
      </c>
    </row>
    <row r="11" spans="1:6">
      <c r="C11" s="426" t="s">
        <v>25</v>
      </c>
      <c r="D11" s="427"/>
      <c r="E11" s="428"/>
      <c r="F11" s="194">
        <f>ROUND(F10*18%,2)</f>
        <v>52087.05</v>
      </c>
    </row>
    <row r="12" spans="1:6">
      <c r="C12" s="426" t="s">
        <v>24</v>
      </c>
      <c r="D12" s="427"/>
      <c r="E12" s="428"/>
      <c r="F12" s="194">
        <f>SUM(F10:F11)</f>
        <v>341459.52999999997</v>
      </c>
    </row>
    <row r="13" spans="1:6">
      <c r="C13" s="426" t="s">
        <v>35</v>
      </c>
      <c r="D13" s="427"/>
      <c r="E13" s="428"/>
      <c r="F13" s="194">
        <f>ROUND(F12*0.01,2)</f>
        <v>3414.6</v>
      </c>
    </row>
    <row r="14" spans="1:6">
      <c r="C14" s="429" t="s">
        <v>96</v>
      </c>
      <c r="D14" s="430"/>
      <c r="E14" s="431"/>
      <c r="F14" s="194">
        <f>SUM(F12:F13)</f>
        <v>344874.12999999995</v>
      </c>
    </row>
    <row r="15" spans="1:6" ht="22.5">
      <c r="C15" s="419" t="s">
        <v>27</v>
      </c>
      <c r="D15" s="420"/>
      <c r="E15" s="421"/>
      <c r="F15" s="111">
        <v>344875</v>
      </c>
    </row>
  </sheetData>
  <mergeCells count="9">
    <mergeCell ref="C13:E13"/>
    <mergeCell ref="C14:E14"/>
    <mergeCell ref="C15:E15"/>
    <mergeCell ref="A1:F1"/>
    <mergeCell ref="A2:F2"/>
    <mergeCell ref="A3:F3"/>
    <mergeCell ref="C10:E10"/>
    <mergeCell ref="C11:E11"/>
    <mergeCell ref="C12:E12"/>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2" max="2" width="51.42578125" customWidth="1"/>
    <col min="6" max="6" width="17" bestFit="1" customWidth="1"/>
  </cols>
  <sheetData>
    <row r="1" spans="1:6" ht="25.5">
      <c r="A1" s="316" t="s">
        <v>0</v>
      </c>
      <c r="B1" s="317"/>
      <c r="C1" s="317"/>
      <c r="D1" s="317"/>
      <c r="E1" s="317"/>
      <c r="F1" s="318"/>
    </row>
    <row r="2" spans="1:6" ht="18" customHeight="1">
      <c r="A2" s="319" t="s">
        <v>1</v>
      </c>
      <c r="B2" s="320"/>
      <c r="C2" s="320"/>
      <c r="D2" s="320"/>
      <c r="E2" s="320"/>
      <c r="F2" s="321"/>
    </row>
    <row r="3" spans="1:6" ht="32.450000000000003" customHeight="1">
      <c r="A3" s="432" t="s">
        <v>299</v>
      </c>
      <c r="B3" s="432"/>
      <c r="C3" s="432"/>
      <c r="D3" s="432"/>
      <c r="E3" s="432"/>
      <c r="F3" s="432"/>
    </row>
    <row r="4" spans="1:6" ht="33" customHeight="1">
      <c r="A4" s="30" t="s">
        <v>208</v>
      </c>
      <c r="B4" s="31" t="s">
        <v>3</v>
      </c>
      <c r="C4" s="31" t="s">
        <v>4</v>
      </c>
      <c r="D4" s="31" t="s">
        <v>5</v>
      </c>
      <c r="E4" s="30" t="s">
        <v>6</v>
      </c>
      <c r="F4" s="30" t="s">
        <v>7</v>
      </c>
    </row>
    <row r="5" spans="1:6" ht="35.25" customHeight="1">
      <c r="A5" s="1">
        <v>1</v>
      </c>
      <c r="B5" s="225" t="s">
        <v>199</v>
      </c>
      <c r="C5" s="226">
        <f>[28]ESTIMATE!G4</f>
        <v>5</v>
      </c>
      <c r="D5" s="9" t="s">
        <v>200</v>
      </c>
      <c r="E5" s="9">
        <v>326.85000000000002</v>
      </c>
      <c r="F5" s="9">
        <v>1634.25</v>
      </c>
    </row>
    <row r="6" spans="1:6" ht="93.75" customHeight="1">
      <c r="A6" s="30" t="str">
        <f>[28]ESTIMATE!A5</f>
        <v>2       5.1.1.</v>
      </c>
      <c r="B6" s="37" t="s">
        <v>9</v>
      </c>
      <c r="C6" s="34">
        <v>85.39</v>
      </c>
      <c r="D6" s="35" t="s">
        <v>8</v>
      </c>
      <c r="E6" s="34">
        <f>[28]ESTIMATE!I8</f>
        <v>151.82</v>
      </c>
      <c r="F6" s="34">
        <f>ROUND(C6*E6,2)</f>
        <v>12963.91</v>
      </c>
    </row>
    <row r="7" spans="1:6" ht="110.25" customHeight="1">
      <c r="A7" s="30" t="str">
        <f>[28]ESTIMATE!A9</f>
        <v>3.           M-004</v>
      </c>
      <c r="B7" s="37" t="s">
        <v>10</v>
      </c>
      <c r="C7" s="34">
        <v>31.86</v>
      </c>
      <c r="D7" s="35" t="s">
        <v>8</v>
      </c>
      <c r="E7" s="34">
        <v>347.85</v>
      </c>
      <c r="F7" s="34">
        <f>ROUND(C7*E7,2)</f>
        <v>11082.5</v>
      </c>
    </row>
    <row r="8" spans="1:6" ht="78.75">
      <c r="A8" s="30" t="str">
        <f>[28]ESTIMATE!A13</f>
        <v>4.       5.6.8 (C.I.W.)</v>
      </c>
      <c r="B8" s="37" t="s">
        <v>11</v>
      </c>
      <c r="C8" s="34">
        <v>53.53</v>
      </c>
      <c r="D8" s="35" t="s">
        <v>8</v>
      </c>
      <c r="E8" s="34">
        <f>[28]ESTIMATE!I16</f>
        <v>1756.4</v>
      </c>
      <c r="F8" s="34">
        <f>ROUND(C8*E8,2)</f>
        <v>94020.09</v>
      </c>
    </row>
    <row r="9" spans="1:6" ht="65.099999999999994" customHeight="1">
      <c r="A9" s="30" t="str">
        <f>[28]ESTIMATE!A17</f>
        <v>5.     5.3.1.1</v>
      </c>
      <c r="B9" s="227" t="s">
        <v>201</v>
      </c>
      <c r="C9" s="34">
        <v>63.72</v>
      </c>
      <c r="D9" s="35" t="s">
        <v>8</v>
      </c>
      <c r="E9" s="34">
        <f>[28]ESTIMATE!I20</f>
        <v>4961.7299999999996</v>
      </c>
      <c r="F9" s="34">
        <f>ROUND(C9*E9,2)</f>
        <v>316161.44</v>
      </c>
    </row>
    <row r="10" spans="1:6" ht="51.75" customHeight="1">
      <c r="A10" s="30" t="str">
        <f>[28]ESTIMATE!A21</f>
        <v>6               5.3.17.1</v>
      </c>
      <c r="B10" s="37" t="s">
        <v>202</v>
      </c>
      <c r="C10" s="34">
        <v>41.82</v>
      </c>
      <c r="D10" s="39" t="s">
        <v>12</v>
      </c>
      <c r="E10" s="30">
        <f>[28]ESTIMATE!I24</f>
        <v>194.5</v>
      </c>
      <c r="F10" s="38">
        <f>ROUND(C10*E10,2)</f>
        <v>8133.99</v>
      </c>
    </row>
    <row r="11" spans="1:6" ht="15.75">
      <c r="A11" s="30">
        <f>[28]ESTIMATE!A25</f>
        <v>7</v>
      </c>
      <c r="B11" s="40" t="s">
        <v>13</v>
      </c>
      <c r="C11" s="35"/>
      <c r="D11" s="41"/>
      <c r="E11" s="42"/>
      <c r="F11" s="34"/>
    </row>
    <row r="12" spans="1:6" ht="15.75">
      <c r="A12" s="228" t="s">
        <v>14</v>
      </c>
      <c r="B12" s="229" t="s">
        <v>36</v>
      </c>
      <c r="C12" s="35">
        <v>27.4</v>
      </c>
      <c r="D12" s="41" t="s">
        <v>8</v>
      </c>
      <c r="E12" s="1">
        <f>[28]ESTIMATE!I26</f>
        <v>848.82</v>
      </c>
      <c r="F12" s="34">
        <f t="shared" ref="F12:F16" si="0">ROUND(C12*E12,2)</f>
        <v>23257.67</v>
      </c>
    </row>
    <row r="13" spans="1:6" ht="15.75">
      <c r="A13" s="228" t="s">
        <v>16</v>
      </c>
      <c r="B13" s="229" t="s">
        <v>203</v>
      </c>
      <c r="C13" s="35">
        <v>31.86</v>
      </c>
      <c r="D13" s="41" t="s">
        <v>8</v>
      </c>
      <c r="E13" s="16">
        <v>447.06</v>
      </c>
      <c r="F13" s="34">
        <f t="shared" si="0"/>
        <v>14243.33</v>
      </c>
    </row>
    <row r="14" spans="1:6" ht="15.75">
      <c r="A14" s="228" t="s">
        <v>18</v>
      </c>
      <c r="B14" s="230" t="s">
        <v>37</v>
      </c>
      <c r="C14" s="35">
        <v>54.8</v>
      </c>
      <c r="D14" s="41" t="s">
        <v>8</v>
      </c>
      <c r="E14" s="16">
        <v>447.06</v>
      </c>
      <c r="F14" s="34">
        <f t="shared" si="0"/>
        <v>24498.89</v>
      </c>
    </row>
    <row r="15" spans="1:6" ht="15.75">
      <c r="A15" s="228" t="s">
        <v>20</v>
      </c>
      <c r="B15" s="230" t="s">
        <v>204</v>
      </c>
      <c r="C15" s="35">
        <v>53.53</v>
      </c>
      <c r="D15" s="41" t="s">
        <v>8</v>
      </c>
      <c r="E15" s="1">
        <f>[28]ESTIMATE!I29</f>
        <v>679.66</v>
      </c>
      <c r="F15" s="34">
        <f t="shared" si="0"/>
        <v>36382.199999999997</v>
      </c>
    </row>
    <row r="16" spans="1:6" ht="15.75">
      <c r="A16" s="228" t="s">
        <v>22</v>
      </c>
      <c r="B16" s="37" t="s">
        <v>205</v>
      </c>
      <c r="C16" s="35">
        <v>85.39</v>
      </c>
      <c r="D16" s="41" t="s">
        <v>8</v>
      </c>
      <c r="E16" s="16">
        <f>[28]ESTIMATE!I30</f>
        <v>117.54</v>
      </c>
      <c r="F16" s="34">
        <f t="shared" si="0"/>
        <v>10036.74</v>
      </c>
    </row>
    <row r="17" spans="1:6" ht="15.75">
      <c r="A17" s="43"/>
      <c r="B17" s="43"/>
      <c r="C17" s="380" t="s">
        <v>24</v>
      </c>
      <c r="D17" s="380"/>
      <c r="E17" s="381"/>
      <c r="F17" s="34">
        <f>SUM(F5:F16)</f>
        <v>552415.01</v>
      </c>
    </row>
    <row r="18" spans="1:6" ht="15.75">
      <c r="A18" s="43"/>
      <c r="B18" s="43"/>
      <c r="C18" s="385" t="s">
        <v>25</v>
      </c>
      <c r="D18" s="380"/>
      <c r="E18" s="381"/>
      <c r="F18" s="34">
        <f>F17*18%</f>
        <v>99434.701799999995</v>
      </c>
    </row>
    <row r="19" spans="1:6" ht="15.75">
      <c r="A19" s="43"/>
      <c r="B19" s="43"/>
      <c r="C19" s="385" t="s">
        <v>24</v>
      </c>
      <c r="D19" s="380"/>
      <c r="E19" s="381"/>
      <c r="F19" s="34">
        <f>SUM(F17:F18)</f>
        <v>651849.71180000005</v>
      </c>
    </row>
    <row r="20" spans="1:6" ht="15.75">
      <c r="A20" s="43"/>
      <c r="B20" s="43"/>
      <c r="C20" s="380" t="s">
        <v>206</v>
      </c>
      <c r="D20" s="380"/>
      <c r="E20" s="381"/>
      <c r="F20" s="34">
        <f>ROUND(F19*0.01,2)</f>
        <v>6518.5</v>
      </c>
    </row>
    <row r="21" spans="1:6" ht="15.75">
      <c r="A21" s="43"/>
      <c r="B21" s="43"/>
      <c r="C21" s="385" t="s">
        <v>207</v>
      </c>
      <c r="D21" s="380"/>
      <c r="E21" s="381"/>
      <c r="F21" s="34">
        <v>5000</v>
      </c>
    </row>
    <row r="22" spans="1:6" ht="15.75">
      <c r="A22" s="43"/>
      <c r="B22" s="43"/>
      <c r="C22" s="380" t="s">
        <v>24</v>
      </c>
      <c r="D22" s="380"/>
      <c r="E22" s="381"/>
      <c r="F22" s="36">
        <f>SUM(F19:F21)</f>
        <v>663368.21180000005</v>
      </c>
    </row>
    <row r="23" spans="1:6" ht="18.75">
      <c r="A23" s="45"/>
      <c r="B23" s="45"/>
      <c r="C23" s="46"/>
      <c r="D23" s="46"/>
      <c r="E23" s="46"/>
      <c r="F23" s="47"/>
    </row>
    <row r="24" spans="1:6" ht="18.75">
      <c r="A24" s="45"/>
      <c r="B24" s="45"/>
      <c r="C24" s="46"/>
      <c r="D24" s="46"/>
      <c r="E24" s="46"/>
      <c r="F24" s="47"/>
    </row>
    <row r="25" spans="1:6">
      <c r="A25" s="48"/>
    </row>
    <row r="26" spans="1:6">
      <c r="A26" s="48"/>
    </row>
    <row r="27" spans="1:6" ht="18.75">
      <c r="A27" s="48"/>
      <c r="B27" s="49" t="s">
        <v>28</v>
      </c>
      <c r="C27" s="50" t="s">
        <v>29</v>
      </c>
      <c r="F27" s="231" t="s">
        <v>30</v>
      </c>
    </row>
    <row r="28" spans="1:6" ht="18.75">
      <c r="A28" s="48"/>
      <c r="B28" s="49" t="s">
        <v>31</v>
      </c>
      <c r="C28" s="50" t="s">
        <v>32</v>
      </c>
      <c r="F28" s="231" t="s">
        <v>31</v>
      </c>
    </row>
  </sheetData>
  <mergeCells count="9">
    <mergeCell ref="C20:E20"/>
    <mergeCell ref="C22:E22"/>
    <mergeCell ref="C21:E21"/>
    <mergeCell ref="A1:F1"/>
    <mergeCell ref="A2:F2"/>
    <mergeCell ref="A3:F3"/>
    <mergeCell ref="C17:E17"/>
    <mergeCell ref="C18:E18"/>
    <mergeCell ref="C19:E19"/>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210</v>
      </c>
      <c r="B3" s="438"/>
      <c r="C3" s="438"/>
      <c r="D3" s="438"/>
      <c r="E3" s="438"/>
      <c r="F3" s="438"/>
    </row>
    <row r="4" spans="1:6" ht="30">
      <c r="A4" s="84" t="s">
        <v>85</v>
      </c>
      <c r="B4" s="85" t="s">
        <v>3</v>
      </c>
      <c r="C4" s="232" t="s">
        <v>4</v>
      </c>
      <c r="D4" s="85" t="s">
        <v>5</v>
      </c>
      <c r="E4" s="233" t="s">
        <v>211</v>
      </c>
      <c r="F4" s="234" t="s">
        <v>212</v>
      </c>
    </row>
    <row r="5" spans="1:6" ht="147.75" customHeight="1">
      <c r="A5" s="84" t="s">
        <v>213</v>
      </c>
      <c r="B5" s="235" t="s">
        <v>214</v>
      </c>
      <c r="C5" s="93">
        <v>2.84</v>
      </c>
      <c r="D5" s="80" t="s">
        <v>8</v>
      </c>
      <c r="E5" s="80">
        <v>167.33</v>
      </c>
      <c r="F5" s="80">
        <f>PRODUCT(C5,E5)</f>
        <v>475.21719999999999</v>
      </c>
    </row>
    <row r="6" spans="1:6" ht="105.75" customHeight="1">
      <c r="A6" s="84" t="s">
        <v>215</v>
      </c>
      <c r="B6" s="236" t="s">
        <v>216</v>
      </c>
      <c r="C6" s="80">
        <v>0.34</v>
      </c>
      <c r="D6" s="80" t="s">
        <v>8</v>
      </c>
      <c r="E6" s="80">
        <v>589.51</v>
      </c>
      <c r="F6" s="80">
        <f>PRODUCT(C6,E6)</f>
        <v>200.43340000000001</v>
      </c>
    </row>
    <row r="7" spans="1:6" ht="90">
      <c r="A7" s="84" t="s">
        <v>217</v>
      </c>
      <c r="B7" s="237" t="s">
        <v>183</v>
      </c>
      <c r="C7" s="80">
        <v>1.77</v>
      </c>
      <c r="D7" s="80" t="s">
        <v>8</v>
      </c>
      <c r="E7" s="80">
        <v>1756.4</v>
      </c>
      <c r="F7" s="80">
        <f>PRODUCT(C7,E7)</f>
        <v>3108.828</v>
      </c>
    </row>
    <row r="8" spans="1:6" ht="60">
      <c r="A8" s="238" t="s">
        <v>218</v>
      </c>
      <c r="B8" s="239" t="s">
        <v>219</v>
      </c>
      <c r="C8" s="80">
        <v>27.88</v>
      </c>
      <c r="D8" s="80" t="s">
        <v>70</v>
      </c>
      <c r="E8" s="85">
        <v>194.5</v>
      </c>
      <c r="F8" s="80">
        <f>PRODUCT(C8,E8)</f>
        <v>5422.66</v>
      </c>
    </row>
    <row r="9" spans="1:6" ht="90">
      <c r="A9" s="233" t="s">
        <v>220</v>
      </c>
      <c r="B9" s="233" t="s">
        <v>221</v>
      </c>
      <c r="C9" s="93">
        <v>44.604999999999997</v>
      </c>
      <c r="D9" s="80" t="s">
        <v>44</v>
      </c>
      <c r="E9" s="80">
        <v>4961.7299999999996</v>
      </c>
      <c r="F9" s="80">
        <f>PRODUCT(C9,E9)</f>
        <v>221317.96664999996</v>
      </c>
    </row>
    <row r="10" spans="1:6">
      <c r="A10" s="84">
        <v>6</v>
      </c>
      <c r="B10" s="240" t="s">
        <v>13</v>
      </c>
      <c r="C10" s="241"/>
      <c r="D10" s="164"/>
      <c r="E10" s="242"/>
      <c r="F10" s="241"/>
    </row>
    <row r="11" spans="1:6">
      <c r="A11" s="238"/>
      <c r="B11" s="85" t="s">
        <v>36</v>
      </c>
      <c r="C11" s="164">
        <v>19.18</v>
      </c>
      <c r="D11" s="164" t="s">
        <v>8</v>
      </c>
      <c r="E11" s="80">
        <v>744.66</v>
      </c>
      <c r="F11" s="164">
        <f>PRODUCT(C11:E11)</f>
        <v>14282.578799999999</v>
      </c>
    </row>
    <row r="12" spans="1:6">
      <c r="A12" s="238"/>
      <c r="B12" s="85" t="s">
        <v>222</v>
      </c>
      <c r="C12" s="164">
        <v>0.34</v>
      </c>
      <c r="D12" s="164" t="s">
        <v>8</v>
      </c>
      <c r="E12" s="80">
        <v>387.54</v>
      </c>
      <c r="F12" s="164">
        <f>PRODUCT(C12:E12)</f>
        <v>131.76360000000003</v>
      </c>
    </row>
    <row r="13" spans="1:6">
      <c r="A13" s="238"/>
      <c r="B13" s="80" t="s">
        <v>223</v>
      </c>
      <c r="C13" s="164">
        <v>38.36</v>
      </c>
      <c r="D13" s="164" t="s">
        <v>8</v>
      </c>
      <c r="E13" s="80">
        <v>342.9</v>
      </c>
      <c r="F13" s="164">
        <f>PRODUCT(C13:E13)</f>
        <v>13153.643999999998</v>
      </c>
    </row>
    <row r="14" spans="1:6">
      <c r="A14" s="238"/>
      <c r="B14" s="80" t="s">
        <v>204</v>
      </c>
      <c r="C14" s="243">
        <v>1.77</v>
      </c>
      <c r="D14" s="164" t="s">
        <v>8</v>
      </c>
      <c r="E14" s="80">
        <v>570.94000000000005</v>
      </c>
      <c r="F14" s="164">
        <f>PRODUCT(C14:E14)</f>
        <v>1010.5638000000001</v>
      </c>
    </row>
    <row r="15" spans="1:6">
      <c r="A15" s="238"/>
      <c r="B15" s="234" t="s">
        <v>205</v>
      </c>
      <c r="C15" s="164">
        <v>2.85</v>
      </c>
      <c r="D15" s="164" t="s">
        <v>8</v>
      </c>
      <c r="E15" s="234">
        <v>117.54</v>
      </c>
      <c r="F15" s="164">
        <f>PRODUCT(C15:E15)</f>
        <v>334.98900000000003</v>
      </c>
    </row>
    <row r="16" spans="1:6">
      <c r="A16" s="238"/>
      <c r="B16" s="238"/>
      <c r="C16" s="433" t="s">
        <v>52</v>
      </c>
      <c r="D16" s="433"/>
      <c r="E16" s="434"/>
      <c r="F16" s="80">
        <f>SUM(F5:F15)</f>
        <v>259438.64444999996</v>
      </c>
    </row>
    <row r="17" spans="1:6">
      <c r="A17" s="238"/>
      <c r="B17" s="238"/>
      <c r="C17" s="433" t="s">
        <v>224</v>
      </c>
      <c r="D17" s="433"/>
      <c r="E17" s="434"/>
      <c r="F17" s="80">
        <f>F16*18%</f>
        <v>46698.956000999991</v>
      </c>
    </row>
    <row r="18" spans="1:6">
      <c r="A18" s="238"/>
      <c r="B18" s="238"/>
      <c r="C18" s="162"/>
      <c r="D18" s="162"/>
      <c r="E18" s="163" t="s">
        <v>52</v>
      </c>
      <c r="F18" s="80">
        <f>F16+F17</f>
        <v>306137.60045099998</v>
      </c>
    </row>
    <row r="19" spans="1:6">
      <c r="A19" s="238"/>
      <c r="B19" s="238"/>
      <c r="C19" s="433" t="s">
        <v>225</v>
      </c>
      <c r="D19" s="433"/>
      <c r="E19" s="434"/>
      <c r="F19" s="80">
        <f>PRODUCT(F18,0.01)</f>
        <v>3061.3760045099998</v>
      </c>
    </row>
    <row r="20" spans="1:6">
      <c r="A20" s="238"/>
      <c r="B20" s="238"/>
      <c r="C20" s="433" t="s">
        <v>52</v>
      </c>
      <c r="D20" s="433"/>
      <c r="E20" s="434"/>
      <c r="F20" s="80">
        <f>F18+F19</f>
        <v>309198.97645550995</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226</v>
      </c>
      <c r="B3" s="438"/>
      <c r="C3" s="438"/>
      <c r="D3" s="438"/>
      <c r="E3" s="438"/>
      <c r="F3" s="438"/>
    </row>
    <row r="4" spans="1:6" ht="30">
      <c r="A4" s="84" t="s">
        <v>85</v>
      </c>
      <c r="B4" s="85" t="s">
        <v>3</v>
      </c>
      <c r="C4" s="232" t="s">
        <v>4</v>
      </c>
      <c r="D4" s="85" t="s">
        <v>5</v>
      </c>
      <c r="E4" s="233" t="s">
        <v>211</v>
      </c>
      <c r="F4" s="234" t="s">
        <v>212</v>
      </c>
    </row>
    <row r="5" spans="1:6" ht="147.75" customHeight="1">
      <c r="A5" s="246" t="s">
        <v>213</v>
      </c>
      <c r="B5" s="247" t="s">
        <v>214</v>
      </c>
      <c r="C5" s="80">
        <f>'[29]DETAILED ESTIMATE'!G7</f>
        <v>132.82356273010478</v>
      </c>
      <c r="D5" s="80" t="s">
        <v>8</v>
      </c>
      <c r="E5" s="80">
        <v>167.33</v>
      </c>
      <c r="F5" s="80">
        <f>PRODUCT(C5,E5)</f>
        <v>22225.366751628437</v>
      </c>
    </row>
    <row r="6" spans="1:6" ht="105.75" customHeight="1">
      <c r="A6" s="246" t="s">
        <v>215</v>
      </c>
      <c r="B6" s="248" t="s">
        <v>216</v>
      </c>
      <c r="C6" s="80">
        <f>'[29]DETAILED ESTIMATE'!G11</f>
        <v>15.859529878221466</v>
      </c>
      <c r="D6" s="80" t="s">
        <v>8</v>
      </c>
      <c r="E6" s="80">
        <v>589.51</v>
      </c>
      <c r="F6" s="80">
        <f>PRODUCT(C6,E6)</f>
        <v>9349.3514585103367</v>
      </c>
    </row>
    <row r="7" spans="1:6" ht="90">
      <c r="A7" s="246" t="s">
        <v>217</v>
      </c>
      <c r="B7" s="249" t="s">
        <v>183</v>
      </c>
      <c r="C7" s="80">
        <f>'[29]DETAILED ESTIMATE'!G15</f>
        <v>82.601718115736816</v>
      </c>
      <c r="D7" s="80" t="s">
        <v>8</v>
      </c>
      <c r="E7" s="80">
        <v>1756.4</v>
      </c>
      <c r="F7" s="80">
        <f>PRODUCT(C7,E7)</f>
        <v>145081.65769848015</v>
      </c>
    </row>
    <row r="8" spans="1:6" ht="60">
      <c r="A8" s="250" t="s">
        <v>218</v>
      </c>
      <c r="B8" s="251" t="s">
        <v>219</v>
      </c>
      <c r="C8" s="80">
        <f>'[29]DETAILED ESTIMATE'!G19</f>
        <v>65.055762081784394</v>
      </c>
      <c r="D8" s="80" t="s">
        <v>70</v>
      </c>
      <c r="E8" s="85">
        <v>194.5</v>
      </c>
      <c r="F8" s="80">
        <f>PRODUCT(C8,E8)</f>
        <v>12653.345724907065</v>
      </c>
    </row>
    <row r="9" spans="1:6" ht="90">
      <c r="A9" s="252" t="s">
        <v>220</v>
      </c>
      <c r="B9" s="253" t="s">
        <v>221</v>
      </c>
      <c r="C9" s="93">
        <f>'[29]DETAILED ESTIMATE'!G24</f>
        <v>99.122061738884156</v>
      </c>
      <c r="D9" s="80" t="s">
        <v>44</v>
      </c>
      <c r="E9" s="80">
        <v>4961.7299999999996</v>
      </c>
      <c r="F9" s="80">
        <f>PRODUCT(C9,E9)</f>
        <v>491816.90739167365</v>
      </c>
    </row>
    <row r="10" spans="1:6">
      <c r="A10" s="246">
        <v>6</v>
      </c>
      <c r="B10" s="254" t="s">
        <v>13</v>
      </c>
      <c r="C10" s="241"/>
      <c r="D10" s="164"/>
      <c r="E10" s="242"/>
      <c r="F10" s="241"/>
    </row>
    <row r="11" spans="1:6">
      <c r="A11" s="250"/>
      <c r="B11" s="255" t="s">
        <v>36</v>
      </c>
      <c r="C11" s="164">
        <f>PRODUCT('[29]MATERIAL STATEMENT'!F8)</f>
        <v>42.622486547720186</v>
      </c>
      <c r="D11" s="164" t="s">
        <v>8</v>
      </c>
      <c r="E11" s="80">
        <v>744.66</v>
      </c>
      <c r="F11" s="164">
        <f>PRODUCT(C11:E11)</f>
        <v>31739.260832625314</v>
      </c>
    </row>
    <row r="12" spans="1:6">
      <c r="A12" s="250"/>
      <c r="B12" s="255" t="s">
        <v>222</v>
      </c>
      <c r="C12" s="164">
        <f>PRODUCT('[29]MATERIAL STATEMENT'!G8)</f>
        <v>15.859529878221466</v>
      </c>
      <c r="D12" s="164" t="s">
        <v>8</v>
      </c>
      <c r="E12" s="80">
        <v>387.54</v>
      </c>
      <c r="F12" s="164">
        <f>PRODUCT(C12:E12)</f>
        <v>6146.2022090059472</v>
      </c>
    </row>
    <row r="13" spans="1:6">
      <c r="A13" s="250"/>
      <c r="B13" s="256" t="s">
        <v>223</v>
      </c>
      <c r="C13" s="164">
        <f>PRODUCT('[29]MATERIAL STATEMENT'!H8)</f>
        <v>85.244973095440372</v>
      </c>
      <c r="D13" s="164" t="s">
        <v>8</v>
      </c>
      <c r="E13" s="80">
        <v>342.9</v>
      </c>
      <c r="F13" s="164">
        <f>PRODUCT(C13:E13)</f>
        <v>29230.5012744265</v>
      </c>
    </row>
    <row r="14" spans="1:6">
      <c r="A14" s="250"/>
      <c r="B14" s="256" t="s">
        <v>204</v>
      </c>
      <c r="C14" s="243">
        <f>'[29]MATERIAL STATEMENT'!I8</f>
        <v>82.601718115736816</v>
      </c>
      <c r="D14" s="164" t="s">
        <v>8</v>
      </c>
      <c r="E14" s="80">
        <v>570.94000000000005</v>
      </c>
      <c r="F14" s="164">
        <f>PRODUCT(C14:E14)</f>
        <v>47160.624940998779</v>
      </c>
    </row>
    <row r="15" spans="1:6">
      <c r="A15" s="250"/>
      <c r="B15" s="257" t="s">
        <v>205</v>
      </c>
      <c r="C15" s="164">
        <f>PRODUCT('[29]MATERIAL STATEMENT'!J8)</f>
        <v>132.82356273010478</v>
      </c>
      <c r="D15" s="164" t="s">
        <v>8</v>
      </c>
      <c r="E15" s="234">
        <v>117.54</v>
      </c>
      <c r="F15" s="164">
        <f>PRODUCT(C15:E15)</f>
        <v>15612.081563296517</v>
      </c>
    </row>
    <row r="16" spans="1:6">
      <c r="A16" s="238"/>
      <c r="B16" s="238"/>
      <c r="C16" s="433"/>
      <c r="D16" s="433"/>
      <c r="E16" s="434"/>
      <c r="F16" s="80">
        <f>SUM(F5:F15)</f>
        <v>811015.29984555265</v>
      </c>
    </row>
    <row r="17" spans="1:6">
      <c r="A17" s="238"/>
      <c r="B17" s="238"/>
      <c r="C17" s="433" t="s">
        <v>224</v>
      </c>
      <c r="D17" s="433"/>
      <c r="E17" s="434"/>
      <c r="F17" s="80">
        <f>F16*18%</f>
        <v>145982.75397219948</v>
      </c>
    </row>
    <row r="18" spans="1:6">
      <c r="A18" s="238"/>
      <c r="B18" s="238"/>
      <c r="C18" s="162"/>
      <c r="D18" s="162"/>
      <c r="E18" s="163" t="s">
        <v>52</v>
      </c>
      <c r="F18" s="80">
        <f>F16+F17</f>
        <v>956998.05381775217</v>
      </c>
    </row>
    <row r="19" spans="1:6">
      <c r="A19" s="238"/>
      <c r="B19" s="238"/>
      <c r="C19" s="433" t="s">
        <v>225</v>
      </c>
      <c r="D19" s="433"/>
      <c r="E19" s="434"/>
      <c r="F19" s="80">
        <f>PRODUCT(F18,0.01)</f>
        <v>9569.9805381775222</v>
      </c>
    </row>
    <row r="20" spans="1:6">
      <c r="A20" s="238"/>
      <c r="B20" s="238"/>
      <c r="C20" s="433"/>
      <c r="D20" s="433"/>
      <c r="E20" s="434"/>
      <c r="F20" s="80">
        <f>F18+F19</f>
        <v>966568.0343559297</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227</v>
      </c>
      <c r="B3" s="438"/>
      <c r="C3" s="438"/>
      <c r="D3" s="438"/>
      <c r="E3" s="438"/>
      <c r="F3" s="438"/>
    </row>
    <row r="4" spans="1:6" ht="30">
      <c r="A4" s="84" t="s">
        <v>85</v>
      </c>
      <c r="B4" s="85" t="s">
        <v>3</v>
      </c>
      <c r="C4" s="232" t="s">
        <v>4</v>
      </c>
      <c r="D4" s="85" t="s">
        <v>5</v>
      </c>
      <c r="E4" s="233" t="s">
        <v>211</v>
      </c>
      <c r="F4" s="234" t="s">
        <v>212</v>
      </c>
    </row>
    <row r="5" spans="1:6" ht="87" customHeight="1">
      <c r="A5" s="84" t="s">
        <v>213</v>
      </c>
      <c r="B5" s="235" t="s">
        <v>214</v>
      </c>
      <c r="C5" s="93">
        <v>54.08</v>
      </c>
      <c r="D5" s="80" t="s">
        <v>8</v>
      </c>
      <c r="E5" s="80">
        <v>167.33</v>
      </c>
      <c r="F5" s="80">
        <f>C5*E5</f>
        <v>9049.2064000000009</v>
      </c>
    </row>
    <row r="6" spans="1:6" ht="105.75" customHeight="1">
      <c r="A6" s="84" t="s">
        <v>215</v>
      </c>
      <c r="B6" s="236" t="s">
        <v>216</v>
      </c>
      <c r="C6" s="80">
        <v>6.46</v>
      </c>
      <c r="D6" s="80" t="s">
        <v>8</v>
      </c>
      <c r="E6" s="80">
        <v>589.51</v>
      </c>
      <c r="F6" s="80">
        <f>PRODUCT(C6,E6)</f>
        <v>3808.2345999999998</v>
      </c>
    </row>
    <row r="7" spans="1:6" ht="90">
      <c r="A7" s="84" t="s">
        <v>217</v>
      </c>
      <c r="B7" s="237" t="s">
        <v>183</v>
      </c>
      <c r="C7" s="80">
        <v>33.630000000000003</v>
      </c>
      <c r="D7" s="80" t="s">
        <v>8</v>
      </c>
      <c r="E7" s="80">
        <v>1756.4</v>
      </c>
      <c r="F7" s="80">
        <f>PRODUCT(C7,E7)</f>
        <v>59067.732000000011</v>
      </c>
    </row>
    <row r="8" spans="1:6" ht="60">
      <c r="A8" s="238" t="s">
        <v>218</v>
      </c>
      <c r="B8" s="239" t="s">
        <v>219</v>
      </c>
      <c r="C8" s="80">
        <v>26.49</v>
      </c>
      <c r="D8" s="80" t="s">
        <v>70</v>
      </c>
      <c r="E8" s="85">
        <v>194.5</v>
      </c>
      <c r="F8" s="80">
        <f>PRODUCT(C8,E8)</f>
        <v>5152.3049999999994</v>
      </c>
    </row>
    <row r="9" spans="1:6" ht="90">
      <c r="A9" s="233" t="s">
        <v>220</v>
      </c>
      <c r="B9" s="233" t="s">
        <v>221</v>
      </c>
      <c r="C9" s="93">
        <v>40.356999999999999</v>
      </c>
      <c r="D9" s="80" t="s">
        <v>44</v>
      </c>
      <c r="E9" s="80">
        <v>4961.7299999999996</v>
      </c>
      <c r="F9" s="80">
        <f>PRODUCT(C9,E9)</f>
        <v>200240.53760999997</v>
      </c>
    </row>
    <row r="10" spans="1:6">
      <c r="A10" s="84">
        <v>6</v>
      </c>
      <c r="B10" s="240" t="s">
        <v>13</v>
      </c>
      <c r="C10" s="241"/>
      <c r="D10" s="164"/>
      <c r="E10" s="242"/>
      <c r="F10" s="241"/>
    </row>
    <row r="11" spans="1:6">
      <c r="A11" s="238"/>
      <c r="B11" s="85" t="s">
        <v>36</v>
      </c>
      <c r="C11" s="164">
        <v>17.350000000000001</v>
      </c>
      <c r="D11" s="164" t="s">
        <v>8</v>
      </c>
      <c r="E11" s="80">
        <v>744.66</v>
      </c>
      <c r="F11" s="164">
        <f>PRODUCT(C11:E11)</f>
        <v>12919.851000000001</v>
      </c>
    </row>
    <row r="12" spans="1:6">
      <c r="A12" s="238"/>
      <c r="B12" s="85" t="s">
        <v>222</v>
      </c>
      <c r="C12" s="164">
        <v>6.46</v>
      </c>
      <c r="D12" s="164" t="s">
        <v>8</v>
      </c>
      <c r="E12" s="80">
        <v>387.54</v>
      </c>
      <c r="F12" s="164">
        <f>PRODUCT(C12:E12)</f>
        <v>2503.5084000000002</v>
      </c>
    </row>
    <row r="13" spans="1:6">
      <c r="A13" s="238"/>
      <c r="B13" s="80" t="s">
        <v>223</v>
      </c>
      <c r="C13" s="164">
        <v>34.71</v>
      </c>
      <c r="D13" s="164" t="s">
        <v>8</v>
      </c>
      <c r="E13" s="80">
        <v>342.9</v>
      </c>
      <c r="F13" s="164">
        <f>PRODUCT(C13:E13)</f>
        <v>11902.058999999999</v>
      </c>
    </row>
    <row r="14" spans="1:6">
      <c r="A14" s="238"/>
      <c r="B14" s="80" t="s">
        <v>204</v>
      </c>
      <c r="C14" s="243">
        <v>33.630000000000003</v>
      </c>
      <c r="D14" s="164" t="s">
        <v>8</v>
      </c>
      <c r="E14" s="80">
        <v>570.94000000000005</v>
      </c>
      <c r="F14" s="164">
        <f>PRODUCT(C14:E14)</f>
        <v>19200.712200000002</v>
      </c>
    </row>
    <row r="15" spans="1:6">
      <c r="A15" s="238"/>
      <c r="B15" s="234" t="s">
        <v>205</v>
      </c>
      <c r="C15" s="164">
        <v>54.08</v>
      </c>
      <c r="D15" s="164" t="s">
        <v>8</v>
      </c>
      <c r="E15" s="234">
        <v>117.54</v>
      </c>
      <c r="F15" s="164">
        <f>PRODUCT(C15:E15)</f>
        <v>6356.5632000000005</v>
      </c>
    </row>
    <row r="16" spans="1:6">
      <c r="A16" s="238"/>
      <c r="B16" s="238"/>
      <c r="C16" s="433" t="s">
        <v>52</v>
      </c>
      <c r="D16" s="433"/>
      <c r="E16" s="434"/>
      <c r="F16" s="80">
        <f>SUM(F5:F15)</f>
        <v>330200.70941000001</v>
      </c>
    </row>
    <row r="17" spans="1:6">
      <c r="A17" s="238"/>
      <c r="B17" s="238"/>
      <c r="C17" s="433" t="s">
        <v>224</v>
      </c>
      <c r="D17" s="433"/>
      <c r="E17" s="434"/>
      <c r="F17" s="80">
        <f>F16*18%</f>
        <v>59436.127693800001</v>
      </c>
    </row>
    <row r="18" spans="1:6">
      <c r="A18" s="238"/>
      <c r="B18" s="238"/>
      <c r="C18" s="162"/>
      <c r="D18" s="162"/>
      <c r="E18" s="163" t="s">
        <v>52</v>
      </c>
      <c r="F18" s="80">
        <f>F16+F17</f>
        <v>389636.83710380003</v>
      </c>
    </row>
    <row r="19" spans="1:6">
      <c r="A19" s="238"/>
      <c r="B19" s="238"/>
      <c r="C19" s="433" t="s">
        <v>225</v>
      </c>
      <c r="D19" s="433"/>
      <c r="E19" s="434"/>
      <c r="F19" s="80">
        <f>PRODUCT(F18,0.01)</f>
        <v>3896.3683710380005</v>
      </c>
    </row>
    <row r="20" spans="1:6">
      <c r="A20" s="238"/>
      <c r="B20" s="238"/>
      <c r="C20" s="433" t="s">
        <v>52</v>
      </c>
      <c r="D20" s="433"/>
      <c r="E20" s="434"/>
      <c r="F20" s="80">
        <f>F18+F19</f>
        <v>393533.20547483803</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F50"/>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ht="21.75" customHeight="1">
      <c r="A2" s="437" t="s">
        <v>83</v>
      </c>
      <c r="B2" s="437"/>
      <c r="C2" s="437"/>
      <c r="D2" s="437"/>
      <c r="E2" s="437"/>
      <c r="F2" s="437"/>
    </row>
    <row r="3" spans="1:6" ht="45" customHeight="1">
      <c r="A3" s="438" t="s">
        <v>228</v>
      </c>
      <c r="B3" s="438"/>
      <c r="C3" s="438"/>
      <c r="D3" s="438"/>
      <c r="E3" s="438"/>
      <c r="F3" s="438"/>
    </row>
    <row r="4" spans="1:6" ht="30">
      <c r="A4" s="84" t="s">
        <v>85</v>
      </c>
      <c r="B4" s="85" t="s">
        <v>3</v>
      </c>
      <c r="C4" s="232" t="s">
        <v>4</v>
      </c>
      <c r="D4" s="85" t="s">
        <v>5</v>
      </c>
      <c r="E4" s="233" t="s">
        <v>211</v>
      </c>
      <c r="F4" s="234" t="s">
        <v>212</v>
      </c>
    </row>
    <row r="5" spans="1:6" ht="105.75" customHeight="1">
      <c r="A5" s="84" t="s">
        <v>229</v>
      </c>
      <c r="B5" s="236" t="s">
        <v>216</v>
      </c>
      <c r="C5" s="80">
        <v>7.08</v>
      </c>
      <c r="D5" s="80" t="s">
        <v>8</v>
      </c>
      <c r="E5" s="80">
        <v>589.51</v>
      </c>
      <c r="F5" s="80">
        <f>PRODUCT(C5,E5)</f>
        <v>4173.7308000000003</v>
      </c>
    </row>
    <row r="6" spans="1:6" ht="90">
      <c r="A6" s="84" t="s">
        <v>230</v>
      </c>
      <c r="B6" s="237" t="s">
        <v>183</v>
      </c>
      <c r="C6" s="80">
        <v>11.8</v>
      </c>
      <c r="D6" s="80" t="s">
        <v>8</v>
      </c>
      <c r="E6" s="80">
        <v>1756.4</v>
      </c>
      <c r="F6" s="80">
        <f>PRODUCT(C6,E6)</f>
        <v>20725.520000000004</v>
      </c>
    </row>
    <row r="7" spans="1:6" ht="60">
      <c r="A7" s="238" t="s">
        <v>231</v>
      </c>
      <c r="B7" s="239" t="s">
        <v>219</v>
      </c>
      <c r="C7" s="80">
        <v>83.64</v>
      </c>
      <c r="D7" s="80" t="s">
        <v>70</v>
      </c>
      <c r="E7" s="85">
        <v>194.5</v>
      </c>
      <c r="F7" s="80">
        <f>PRODUCT(C7,E7)</f>
        <v>16267.98</v>
      </c>
    </row>
    <row r="8" spans="1:6" ht="90">
      <c r="A8" s="233" t="s">
        <v>232</v>
      </c>
      <c r="B8" s="233" t="s">
        <v>221</v>
      </c>
      <c r="C8" s="93">
        <v>127.443</v>
      </c>
      <c r="D8" s="80" t="s">
        <v>44</v>
      </c>
      <c r="E8" s="80">
        <v>4961.7299999999996</v>
      </c>
      <c r="F8" s="80">
        <f>PRODUCT(C8,E8)</f>
        <v>632337.75638999988</v>
      </c>
    </row>
    <row r="9" spans="1:6">
      <c r="A9" s="84">
        <v>5</v>
      </c>
      <c r="B9" s="240" t="s">
        <v>13</v>
      </c>
      <c r="C9" s="241"/>
      <c r="D9" s="164"/>
      <c r="E9" s="242"/>
      <c r="F9" s="241"/>
    </row>
    <row r="10" spans="1:6">
      <c r="A10" s="238"/>
      <c r="B10" s="85" t="s">
        <v>36</v>
      </c>
      <c r="C10" s="164">
        <v>54.8</v>
      </c>
      <c r="D10" s="164" t="s">
        <v>8</v>
      </c>
      <c r="E10" s="80">
        <v>744.66</v>
      </c>
      <c r="F10" s="164">
        <f>PRODUCT(C10:E10)</f>
        <v>40807.367999999995</v>
      </c>
    </row>
    <row r="11" spans="1:6">
      <c r="A11" s="238"/>
      <c r="B11" s="85" t="s">
        <v>222</v>
      </c>
      <c r="C11" s="164">
        <v>7.08</v>
      </c>
      <c r="D11" s="164" t="s">
        <v>8</v>
      </c>
      <c r="E11" s="80">
        <v>387.54</v>
      </c>
      <c r="F11" s="164">
        <f>PRODUCT(C11:E11)</f>
        <v>2743.7832000000003</v>
      </c>
    </row>
    <row r="12" spans="1:6">
      <c r="A12" s="238"/>
      <c r="B12" s="80" t="s">
        <v>223</v>
      </c>
      <c r="C12" s="164">
        <v>109.6</v>
      </c>
      <c r="D12" s="164" t="s">
        <v>8</v>
      </c>
      <c r="E12" s="80">
        <v>342.9</v>
      </c>
      <c r="F12" s="164">
        <f>PRODUCT(C12:E12)</f>
        <v>37581.839999999997</v>
      </c>
    </row>
    <row r="13" spans="1:6">
      <c r="A13" s="238"/>
      <c r="B13" s="80" t="s">
        <v>204</v>
      </c>
      <c r="C13" s="243">
        <v>11.8</v>
      </c>
      <c r="D13" s="164" t="s">
        <v>8</v>
      </c>
      <c r="E13" s="80">
        <v>570.94000000000005</v>
      </c>
      <c r="F13" s="164">
        <f>PRODUCT(C13:E13)</f>
        <v>6737.0920000000015</v>
      </c>
    </row>
    <row r="14" spans="1:6">
      <c r="A14" s="238"/>
      <c r="B14" s="238"/>
      <c r="C14" s="433" t="s">
        <v>52</v>
      </c>
      <c r="D14" s="433"/>
      <c r="E14" s="434"/>
      <c r="F14" s="80">
        <f>SUM(F5:F13)</f>
        <v>761375.07038999978</v>
      </c>
    </row>
    <row r="15" spans="1:6">
      <c r="A15" s="238"/>
      <c r="B15" s="238"/>
      <c r="C15" s="433" t="s">
        <v>224</v>
      </c>
      <c r="D15" s="433"/>
      <c r="E15" s="434"/>
      <c r="F15" s="80">
        <f>F14*18%</f>
        <v>137047.51267019997</v>
      </c>
    </row>
    <row r="16" spans="1:6">
      <c r="A16" s="238"/>
      <c r="B16" s="238"/>
      <c r="C16" s="162"/>
      <c r="D16" s="162"/>
      <c r="E16" s="163" t="s">
        <v>52</v>
      </c>
      <c r="F16" s="80">
        <f>F14+F15</f>
        <v>898422.58306019974</v>
      </c>
    </row>
    <row r="17" spans="1:6">
      <c r="A17" s="238"/>
      <c r="B17" s="238"/>
      <c r="C17" s="433" t="s">
        <v>225</v>
      </c>
      <c r="D17" s="433"/>
      <c r="E17" s="434"/>
      <c r="F17" s="80">
        <f>PRODUCT(F16,0.01)</f>
        <v>8984.2258306019976</v>
      </c>
    </row>
    <row r="18" spans="1:6">
      <c r="A18" s="238"/>
      <c r="B18" s="238"/>
      <c r="C18" s="433" t="s">
        <v>52</v>
      </c>
      <c r="D18" s="433"/>
      <c r="E18" s="434"/>
      <c r="F18" s="80">
        <f>F16+F17</f>
        <v>907406.80889080174</v>
      </c>
    </row>
    <row r="19" spans="1:6" ht="15.75">
      <c r="A19" s="244"/>
      <c r="B19" s="96"/>
      <c r="C19" s="96"/>
      <c r="D19" s="96"/>
      <c r="E19" s="96"/>
      <c r="F19" s="96"/>
    </row>
    <row r="20" spans="1:6" ht="15.75">
      <c r="A20" s="244"/>
      <c r="B20" s="96"/>
      <c r="C20" s="96"/>
      <c r="D20" s="96"/>
      <c r="E20" s="96"/>
      <c r="F20" s="96"/>
    </row>
    <row r="21" spans="1:6">
      <c r="C21" s="245"/>
      <c r="D21" s="245"/>
      <c r="E21" s="245"/>
      <c r="F21" s="245"/>
    </row>
    <row r="22" spans="1:6">
      <c r="C22" s="245"/>
      <c r="D22" s="245"/>
      <c r="E22" s="245"/>
      <c r="F22" s="245"/>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sheetData>
  <mergeCells count="7">
    <mergeCell ref="C18:E18"/>
    <mergeCell ref="A1:F1"/>
    <mergeCell ref="A2:F2"/>
    <mergeCell ref="A3:F3"/>
    <mergeCell ref="C14:E14"/>
    <mergeCell ref="C15:E15"/>
    <mergeCell ref="C17:E17"/>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233</v>
      </c>
      <c r="B3" s="438"/>
      <c r="C3" s="438"/>
      <c r="D3" s="438"/>
      <c r="E3" s="438"/>
      <c r="F3" s="438"/>
    </row>
    <row r="4" spans="1:6" ht="30">
      <c r="A4" s="84" t="s">
        <v>85</v>
      </c>
      <c r="B4" s="85" t="s">
        <v>3</v>
      </c>
      <c r="C4" s="232" t="s">
        <v>4</v>
      </c>
      <c r="D4" s="85" t="s">
        <v>5</v>
      </c>
      <c r="E4" s="233" t="s">
        <v>211</v>
      </c>
      <c r="F4" s="234" t="s">
        <v>212</v>
      </c>
    </row>
    <row r="5" spans="1:6" ht="87" customHeight="1">
      <c r="A5" s="84" t="s">
        <v>213</v>
      </c>
      <c r="B5" s="235" t="s">
        <v>214</v>
      </c>
      <c r="C5" s="93">
        <v>94.87</v>
      </c>
      <c r="D5" s="80" t="s">
        <v>8</v>
      </c>
      <c r="E5" s="80">
        <v>167.33</v>
      </c>
      <c r="F5" s="80">
        <f>C5*E5</f>
        <v>15874.597100000003</v>
      </c>
    </row>
    <row r="6" spans="1:6" ht="105.75" customHeight="1">
      <c r="A6" s="84" t="s">
        <v>215</v>
      </c>
      <c r="B6" s="236" t="s">
        <v>216</v>
      </c>
      <c r="C6" s="80">
        <v>11.33</v>
      </c>
      <c r="D6" s="80" t="s">
        <v>8</v>
      </c>
      <c r="E6" s="80">
        <v>589.51</v>
      </c>
      <c r="F6" s="80">
        <f>PRODUCT(C6,E6)</f>
        <v>6679.1482999999998</v>
      </c>
    </row>
    <row r="7" spans="1:6" ht="90">
      <c r="A7" s="84" t="s">
        <v>217</v>
      </c>
      <c r="B7" s="237" t="s">
        <v>183</v>
      </c>
      <c r="C7" s="80">
        <v>59</v>
      </c>
      <c r="D7" s="80" t="s">
        <v>8</v>
      </c>
      <c r="E7" s="80">
        <v>1756.4</v>
      </c>
      <c r="F7" s="80">
        <f>PRODUCT(C7,E7)</f>
        <v>103627.6</v>
      </c>
    </row>
    <row r="8" spans="1:6" ht="60">
      <c r="A8" s="238" t="s">
        <v>218</v>
      </c>
      <c r="B8" s="239" t="s">
        <v>219</v>
      </c>
      <c r="C8" s="80">
        <v>46.47</v>
      </c>
      <c r="D8" s="80" t="s">
        <v>70</v>
      </c>
      <c r="E8" s="85">
        <v>194.5</v>
      </c>
      <c r="F8" s="80">
        <f>PRODUCT(C8,E8)</f>
        <v>9038.4149999999991</v>
      </c>
    </row>
    <row r="9" spans="1:6" ht="90">
      <c r="A9" s="233" t="s">
        <v>220</v>
      </c>
      <c r="B9" s="233" t="s">
        <v>221</v>
      </c>
      <c r="C9" s="93">
        <v>70.801000000000002</v>
      </c>
      <c r="D9" s="80" t="s">
        <v>44</v>
      </c>
      <c r="E9" s="80">
        <v>4961.7299999999996</v>
      </c>
      <c r="F9" s="80">
        <f>PRODUCT(C9,E9)</f>
        <v>351295.44572999998</v>
      </c>
    </row>
    <row r="10" spans="1:6">
      <c r="A10" s="84">
        <v>6</v>
      </c>
      <c r="B10" s="240" t="s">
        <v>13</v>
      </c>
      <c r="C10" s="241"/>
      <c r="D10" s="164"/>
      <c r="E10" s="242"/>
      <c r="F10" s="241"/>
    </row>
    <row r="11" spans="1:6">
      <c r="A11" s="238"/>
      <c r="B11" s="85" t="s">
        <v>36</v>
      </c>
      <c r="C11" s="164">
        <v>30.44</v>
      </c>
      <c r="D11" s="164" t="s">
        <v>8</v>
      </c>
      <c r="E11" s="80">
        <v>744.66</v>
      </c>
      <c r="F11" s="164">
        <f>PRODUCT(C11:E11)</f>
        <v>22667.450400000002</v>
      </c>
    </row>
    <row r="12" spans="1:6">
      <c r="A12" s="238"/>
      <c r="B12" s="85" t="s">
        <v>222</v>
      </c>
      <c r="C12" s="164">
        <v>11.33</v>
      </c>
      <c r="D12" s="164" t="s">
        <v>8</v>
      </c>
      <c r="E12" s="80">
        <v>387.54</v>
      </c>
      <c r="F12" s="164">
        <f>PRODUCT(C12:E12)</f>
        <v>4390.8281999999999</v>
      </c>
    </row>
    <row r="13" spans="1:6">
      <c r="A13" s="238"/>
      <c r="B13" s="80" t="s">
        <v>223</v>
      </c>
      <c r="C13" s="164">
        <v>60.89</v>
      </c>
      <c r="D13" s="164" t="s">
        <v>8</v>
      </c>
      <c r="E13" s="80">
        <v>342.9</v>
      </c>
      <c r="F13" s="164">
        <f>PRODUCT(C13:E13)</f>
        <v>20879.181</v>
      </c>
    </row>
    <row r="14" spans="1:6">
      <c r="A14" s="238"/>
      <c r="B14" s="80" t="s">
        <v>204</v>
      </c>
      <c r="C14" s="243">
        <v>59</v>
      </c>
      <c r="D14" s="164" t="s">
        <v>8</v>
      </c>
      <c r="E14" s="80">
        <v>570.94000000000005</v>
      </c>
      <c r="F14" s="164">
        <f>PRODUCT(C14:E14)</f>
        <v>33685.460000000006</v>
      </c>
    </row>
    <row r="15" spans="1:6">
      <c r="A15" s="238"/>
      <c r="B15" s="234" t="s">
        <v>205</v>
      </c>
      <c r="C15" s="164">
        <v>94.87</v>
      </c>
      <c r="D15" s="164" t="s">
        <v>8</v>
      </c>
      <c r="E15" s="234">
        <v>117.54</v>
      </c>
      <c r="F15" s="164">
        <f>PRODUCT(C15:E15)</f>
        <v>11151.019800000002</v>
      </c>
    </row>
    <row r="16" spans="1:6">
      <c r="A16" s="238"/>
      <c r="B16" s="238"/>
      <c r="C16" s="433" t="s">
        <v>52</v>
      </c>
      <c r="D16" s="433"/>
      <c r="E16" s="434"/>
      <c r="F16" s="80">
        <f>SUM(F5:F15)</f>
        <v>579289.14552999986</v>
      </c>
    </row>
    <row r="17" spans="1:6">
      <c r="A17" s="238"/>
      <c r="B17" s="238"/>
      <c r="C17" s="433" t="s">
        <v>224</v>
      </c>
      <c r="D17" s="433"/>
      <c r="E17" s="434"/>
      <c r="F17" s="80">
        <f>F16*18%</f>
        <v>104272.04619539998</v>
      </c>
    </row>
    <row r="18" spans="1:6">
      <c r="A18" s="238"/>
      <c r="B18" s="238"/>
      <c r="C18" s="162"/>
      <c r="D18" s="162"/>
      <c r="E18" s="163" t="s">
        <v>52</v>
      </c>
      <c r="F18" s="80">
        <f>F16+F17</f>
        <v>683561.19172539981</v>
      </c>
    </row>
    <row r="19" spans="1:6">
      <c r="A19" s="238"/>
      <c r="B19" s="238"/>
      <c r="C19" s="433" t="s">
        <v>225</v>
      </c>
      <c r="D19" s="433"/>
      <c r="E19" s="434"/>
      <c r="F19" s="80">
        <f>PRODUCT(F18,0.01)</f>
        <v>6835.6119172539984</v>
      </c>
    </row>
    <row r="20" spans="1:6">
      <c r="A20" s="238"/>
      <c r="B20" s="238"/>
      <c r="C20" s="433" t="s">
        <v>52</v>
      </c>
      <c r="D20" s="433"/>
      <c r="E20" s="434"/>
      <c r="F20" s="80">
        <f>F18+F19</f>
        <v>690396.80364265386</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F46"/>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234</v>
      </c>
      <c r="B3" s="438"/>
      <c r="C3" s="438"/>
      <c r="D3" s="438"/>
      <c r="E3" s="438"/>
      <c r="F3" s="438"/>
    </row>
    <row r="4" spans="1:6" ht="30">
      <c r="A4" s="84" t="s">
        <v>85</v>
      </c>
      <c r="B4" s="85" t="s">
        <v>3</v>
      </c>
      <c r="C4" s="232" t="s">
        <v>4</v>
      </c>
      <c r="D4" s="85" t="s">
        <v>5</v>
      </c>
      <c r="E4" s="233" t="s">
        <v>211</v>
      </c>
      <c r="F4" s="234" t="s">
        <v>212</v>
      </c>
    </row>
    <row r="5" spans="1:6" ht="60">
      <c r="A5" s="238" t="s">
        <v>235</v>
      </c>
      <c r="B5" s="239" t="s">
        <v>219</v>
      </c>
      <c r="C5" s="80">
        <v>65.06</v>
      </c>
      <c r="D5" s="80" t="s">
        <v>70</v>
      </c>
      <c r="E5" s="85">
        <v>194.5</v>
      </c>
      <c r="F5" s="80">
        <f>PRODUCT(C5,E5)</f>
        <v>12654.17</v>
      </c>
    </row>
    <row r="6" spans="1:6" ht="90">
      <c r="A6" s="233" t="s">
        <v>236</v>
      </c>
      <c r="B6" s="233" t="s">
        <v>221</v>
      </c>
      <c r="C6" s="93">
        <v>99.122</v>
      </c>
      <c r="D6" s="80" t="s">
        <v>44</v>
      </c>
      <c r="E6" s="80">
        <v>4961.7299999999996</v>
      </c>
      <c r="F6" s="80">
        <f>PRODUCT(C6,E6)</f>
        <v>491816.60105999996</v>
      </c>
    </row>
    <row r="7" spans="1:6">
      <c r="A7" s="84">
        <v>3</v>
      </c>
      <c r="B7" s="240" t="s">
        <v>13</v>
      </c>
      <c r="C7" s="241"/>
      <c r="D7" s="164"/>
      <c r="E7" s="242"/>
      <c r="F7" s="241"/>
    </row>
    <row r="8" spans="1:6">
      <c r="A8" s="238"/>
      <c r="B8" s="85" t="s">
        <v>36</v>
      </c>
      <c r="C8" s="164">
        <v>42.62</v>
      </c>
      <c r="D8" s="164" t="s">
        <v>8</v>
      </c>
      <c r="E8" s="80">
        <v>744.66</v>
      </c>
      <c r="F8" s="164">
        <f>PRODUCT(C8:E8)</f>
        <v>31737.409199999998</v>
      </c>
    </row>
    <row r="9" spans="1:6">
      <c r="A9" s="238"/>
      <c r="B9" s="80" t="s">
        <v>223</v>
      </c>
      <c r="C9" s="164">
        <v>85.24</v>
      </c>
      <c r="D9" s="164" t="s">
        <v>8</v>
      </c>
      <c r="E9" s="80">
        <v>342.9</v>
      </c>
      <c r="F9" s="164">
        <f>PRODUCT(C9:E9)</f>
        <v>29228.795999999995</v>
      </c>
    </row>
    <row r="10" spans="1:6">
      <c r="A10" s="238"/>
      <c r="B10" s="238"/>
      <c r="C10" s="433" t="s">
        <v>52</v>
      </c>
      <c r="D10" s="433"/>
      <c r="E10" s="434"/>
      <c r="F10" s="80">
        <f>SUM(F5:F9)</f>
        <v>565436.97625999991</v>
      </c>
    </row>
    <row r="11" spans="1:6">
      <c r="A11" s="238"/>
      <c r="B11" s="238"/>
      <c r="C11" s="433" t="s">
        <v>224</v>
      </c>
      <c r="D11" s="433"/>
      <c r="E11" s="434"/>
      <c r="F11" s="80">
        <f>F10*18%</f>
        <v>101778.65572679997</v>
      </c>
    </row>
    <row r="12" spans="1:6">
      <c r="A12" s="238"/>
      <c r="B12" s="238"/>
      <c r="C12" s="162"/>
      <c r="D12" s="162"/>
      <c r="E12" s="163" t="s">
        <v>52</v>
      </c>
      <c r="F12" s="80">
        <f>F10+F11</f>
        <v>667215.63198679988</v>
      </c>
    </row>
    <row r="13" spans="1:6">
      <c r="A13" s="238"/>
      <c r="B13" s="238"/>
      <c r="C13" s="433" t="s">
        <v>225</v>
      </c>
      <c r="D13" s="433"/>
      <c r="E13" s="434"/>
      <c r="F13" s="80">
        <f>PRODUCT(F12,0.01)</f>
        <v>6672.1563198679987</v>
      </c>
    </row>
    <row r="14" spans="1:6">
      <c r="A14" s="238"/>
      <c r="B14" s="238"/>
      <c r="C14" s="433" t="s">
        <v>52</v>
      </c>
      <c r="D14" s="433"/>
      <c r="E14" s="434"/>
      <c r="F14" s="80">
        <f>F12+F13</f>
        <v>673887.78830666794</v>
      </c>
    </row>
    <row r="15" spans="1:6" ht="15.75">
      <c r="A15" s="244"/>
      <c r="B15" s="96"/>
      <c r="C15" s="96"/>
      <c r="D15" s="96"/>
      <c r="E15" s="96"/>
      <c r="F15" s="96"/>
    </row>
    <row r="16" spans="1:6" ht="15.75">
      <c r="A16" s="244"/>
      <c r="B16" s="96"/>
      <c r="C16" s="96"/>
      <c r="D16" s="96"/>
      <c r="E16" s="96"/>
      <c r="F16" s="96"/>
    </row>
    <row r="17" spans="3:6">
      <c r="C17" s="245"/>
      <c r="D17" s="245"/>
      <c r="E17" s="245"/>
      <c r="F17" s="245"/>
    </row>
    <row r="18" spans="3:6">
      <c r="C18" s="245"/>
      <c r="D18" s="245"/>
      <c r="E18" s="245"/>
      <c r="F18" s="245"/>
    </row>
    <row r="19" spans="3:6">
      <c r="C19" s="245"/>
      <c r="D19" s="245"/>
      <c r="E19" s="245"/>
      <c r="F19" s="245"/>
    </row>
    <row r="20" spans="3:6">
      <c r="C20" s="245"/>
      <c r="D20" s="245"/>
      <c r="E20" s="245"/>
      <c r="F20" s="245"/>
    </row>
    <row r="21" spans="3:6">
      <c r="C21" s="245"/>
      <c r="D21" s="245"/>
      <c r="E21" s="245"/>
      <c r="F21" s="245"/>
    </row>
    <row r="22" spans="3:6">
      <c r="C22" s="245"/>
      <c r="D22" s="245"/>
      <c r="E22" s="245"/>
      <c r="F22" s="245"/>
    </row>
    <row r="23" spans="3:6">
      <c r="C23" s="245"/>
      <c r="D23" s="245"/>
      <c r="E23" s="245"/>
      <c r="F23" s="245"/>
    </row>
    <row r="24" spans="3:6">
      <c r="C24" s="245"/>
      <c r="D24" s="245"/>
      <c r="E24" s="245"/>
      <c r="F24" s="245"/>
    </row>
    <row r="25" spans="3:6">
      <c r="C25" s="245"/>
      <c r="D25" s="245"/>
      <c r="E25" s="245"/>
      <c r="F25" s="245"/>
    </row>
    <row r="26" spans="3:6">
      <c r="C26" s="245"/>
      <c r="D26" s="245"/>
      <c r="E26" s="245"/>
      <c r="F26" s="245"/>
    </row>
    <row r="27" spans="3:6">
      <c r="C27" s="245"/>
      <c r="D27" s="245"/>
      <c r="E27" s="245"/>
      <c r="F27" s="245"/>
    </row>
    <row r="28" spans="3:6">
      <c r="C28" s="245"/>
      <c r="D28" s="245"/>
      <c r="E28" s="245"/>
      <c r="F28" s="245"/>
    </row>
    <row r="29" spans="3:6">
      <c r="C29" s="245"/>
      <c r="D29" s="245"/>
      <c r="E29" s="245"/>
      <c r="F29" s="245"/>
    </row>
    <row r="30" spans="3:6">
      <c r="C30" s="245"/>
      <c r="D30" s="245"/>
      <c r="E30" s="245"/>
      <c r="F30" s="245"/>
    </row>
    <row r="31" spans="3:6">
      <c r="C31" s="245"/>
      <c r="D31" s="245"/>
      <c r="E31" s="245"/>
      <c r="F31" s="245"/>
    </row>
    <row r="32" spans="3: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sheetData>
  <mergeCells count="7">
    <mergeCell ref="C14:E14"/>
    <mergeCell ref="A1:F1"/>
    <mergeCell ref="A2:F2"/>
    <mergeCell ref="A3:F3"/>
    <mergeCell ref="C10:E10"/>
    <mergeCell ref="C11:E11"/>
    <mergeCell ref="C13:E13"/>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237</v>
      </c>
      <c r="B3" s="438"/>
      <c r="C3" s="438"/>
      <c r="D3" s="438"/>
      <c r="E3" s="438"/>
      <c r="F3" s="438"/>
    </row>
    <row r="4" spans="1:6" ht="30">
      <c r="A4" s="84" t="s">
        <v>85</v>
      </c>
      <c r="B4" s="85" t="s">
        <v>3</v>
      </c>
      <c r="C4" s="232" t="s">
        <v>4</v>
      </c>
      <c r="D4" s="85" t="s">
        <v>5</v>
      </c>
      <c r="E4" s="233" t="s">
        <v>211</v>
      </c>
      <c r="F4" s="234" t="s">
        <v>212</v>
      </c>
    </row>
    <row r="5" spans="1:6" ht="147.75" customHeight="1">
      <c r="A5" s="84" t="s">
        <v>213</v>
      </c>
      <c r="B5" s="235" t="s">
        <v>214</v>
      </c>
      <c r="C5" s="80">
        <v>66.400000000000006</v>
      </c>
      <c r="D5" s="80" t="s">
        <v>8</v>
      </c>
      <c r="E5" s="80">
        <v>167.33</v>
      </c>
      <c r="F5" s="80">
        <f>PRODUCT(C5,E5)</f>
        <v>11110.712000000001</v>
      </c>
    </row>
    <row r="6" spans="1:6" ht="105.75" customHeight="1">
      <c r="A6" s="84" t="s">
        <v>215</v>
      </c>
      <c r="B6" s="236" t="s">
        <v>216</v>
      </c>
      <c r="C6" s="80">
        <v>7.93</v>
      </c>
      <c r="D6" s="80" t="s">
        <v>8</v>
      </c>
      <c r="E6" s="80">
        <v>589.51</v>
      </c>
      <c r="F6" s="80">
        <f>PRODUCT(C6,E6)</f>
        <v>4674.8143</v>
      </c>
    </row>
    <row r="7" spans="1:6" ht="90">
      <c r="A7" s="84" t="s">
        <v>217</v>
      </c>
      <c r="B7" s="237" t="s">
        <v>183</v>
      </c>
      <c r="C7" s="80">
        <v>41.3</v>
      </c>
      <c r="D7" s="80" t="s">
        <v>8</v>
      </c>
      <c r="E7" s="80">
        <v>1756.4</v>
      </c>
      <c r="F7" s="80">
        <f>PRODUCT(C7,E7)</f>
        <v>72539.319999999992</v>
      </c>
    </row>
    <row r="8" spans="1:6" ht="60">
      <c r="A8" s="238" t="s">
        <v>218</v>
      </c>
      <c r="B8" s="239" t="s">
        <v>219</v>
      </c>
      <c r="C8" s="80">
        <v>32.53</v>
      </c>
      <c r="D8" s="80" t="s">
        <v>70</v>
      </c>
      <c r="E8" s="85">
        <v>194.5</v>
      </c>
      <c r="F8" s="80">
        <f>PRODUCT(C8,E8)</f>
        <v>6327.085</v>
      </c>
    </row>
    <row r="9" spans="1:6" ht="90">
      <c r="A9" s="233" t="s">
        <v>220</v>
      </c>
      <c r="B9" s="233" t="s">
        <v>221</v>
      </c>
      <c r="C9" s="93">
        <v>49.561</v>
      </c>
      <c r="D9" s="80" t="s">
        <v>44</v>
      </c>
      <c r="E9" s="80">
        <v>4961.7299999999996</v>
      </c>
      <c r="F9" s="80">
        <f>PRODUCT(C9,E9)</f>
        <v>245908.30052999998</v>
      </c>
    </row>
    <row r="10" spans="1:6">
      <c r="A10" s="84">
        <v>6</v>
      </c>
      <c r="B10" s="240" t="s">
        <v>13</v>
      </c>
      <c r="C10" s="241"/>
      <c r="D10" s="164"/>
      <c r="E10" s="242"/>
      <c r="F10" s="241"/>
    </row>
    <row r="11" spans="1:6">
      <c r="A11" s="238"/>
      <c r="B11" s="85" t="s">
        <v>36</v>
      </c>
      <c r="C11" s="164">
        <v>21.31</v>
      </c>
      <c r="D11" s="164" t="s">
        <v>8</v>
      </c>
      <c r="E11" s="80">
        <v>744.66</v>
      </c>
      <c r="F11" s="164">
        <f>PRODUCT(C11:E11)</f>
        <v>15868.704599999999</v>
      </c>
    </row>
    <row r="12" spans="1:6">
      <c r="A12" s="238"/>
      <c r="B12" s="85" t="s">
        <v>222</v>
      </c>
      <c r="C12" s="164">
        <v>7.93</v>
      </c>
      <c r="D12" s="164" t="s">
        <v>8</v>
      </c>
      <c r="E12" s="80">
        <v>387.54</v>
      </c>
      <c r="F12" s="164">
        <f>PRODUCT(C12:E12)</f>
        <v>3073.1922</v>
      </c>
    </row>
    <row r="13" spans="1:6">
      <c r="A13" s="238"/>
      <c r="B13" s="80" t="s">
        <v>223</v>
      </c>
      <c r="C13" s="164">
        <v>42.62</v>
      </c>
      <c r="D13" s="164" t="s">
        <v>8</v>
      </c>
      <c r="E13" s="80">
        <v>342.9</v>
      </c>
      <c r="F13" s="164">
        <f>PRODUCT(C13:E13)</f>
        <v>14614.397999999997</v>
      </c>
    </row>
    <row r="14" spans="1:6">
      <c r="A14" s="238"/>
      <c r="B14" s="80" t="s">
        <v>204</v>
      </c>
      <c r="C14" s="243">
        <v>41.3</v>
      </c>
      <c r="D14" s="164" t="s">
        <v>8</v>
      </c>
      <c r="E14" s="80">
        <v>570.94000000000005</v>
      </c>
      <c r="F14" s="164">
        <f>PRODUCT(C14:E14)</f>
        <v>23579.822</v>
      </c>
    </row>
    <row r="15" spans="1:6">
      <c r="A15" s="238"/>
      <c r="B15" s="234" t="s">
        <v>205</v>
      </c>
      <c r="C15" s="164">
        <v>66.400000000000006</v>
      </c>
      <c r="D15" s="164" t="s">
        <v>8</v>
      </c>
      <c r="E15" s="234">
        <v>117.54</v>
      </c>
      <c r="F15" s="164">
        <f>PRODUCT(C15:E15)</f>
        <v>7804.6560000000009</v>
      </c>
    </row>
    <row r="16" spans="1:6">
      <c r="A16" s="238"/>
      <c r="B16" s="238"/>
      <c r="C16" s="433" t="s">
        <v>52</v>
      </c>
      <c r="D16" s="433"/>
      <c r="E16" s="434"/>
      <c r="F16" s="80">
        <f>SUM(F5:F15)</f>
        <v>405501.00462999992</v>
      </c>
    </row>
    <row r="17" spans="1:6">
      <c r="A17" s="238"/>
      <c r="B17" s="238"/>
      <c r="C17" s="433" t="s">
        <v>224</v>
      </c>
      <c r="D17" s="433"/>
      <c r="E17" s="434"/>
      <c r="F17" s="80">
        <f>F16*18%</f>
        <v>72990.18083339998</v>
      </c>
    </row>
    <row r="18" spans="1:6">
      <c r="A18" s="238"/>
      <c r="B18" s="238"/>
      <c r="C18" s="162"/>
      <c r="D18" s="162"/>
      <c r="E18" s="163" t="s">
        <v>52</v>
      </c>
      <c r="F18" s="80">
        <f>F16+F17</f>
        <v>478491.18546339992</v>
      </c>
    </row>
    <row r="19" spans="1:6">
      <c r="A19" s="238"/>
      <c r="B19" s="238"/>
      <c r="C19" s="433" t="s">
        <v>225</v>
      </c>
      <c r="D19" s="433"/>
      <c r="E19" s="434"/>
      <c r="F19" s="80">
        <f>PRODUCT(F18,0.01)</f>
        <v>4784.9118546339996</v>
      </c>
    </row>
    <row r="20" spans="1:6">
      <c r="A20" s="238"/>
      <c r="B20" s="238"/>
      <c r="C20" s="433" t="s">
        <v>52</v>
      </c>
      <c r="D20" s="433"/>
      <c r="E20" s="434"/>
      <c r="F20" s="80">
        <f>F18+F19</f>
        <v>483276.09731803392</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F60"/>
  <sheetViews>
    <sheetView workbookViewId="0">
      <selection activeCell="A3" sqref="A3:F3"/>
    </sheetView>
  </sheetViews>
  <sheetFormatPr defaultRowHeight="15"/>
  <cols>
    <col min="1" max="1" width="11.28515625" customWidth="1"/>
    <col min="2" max="2" width="45.85546875" customWidth="1"/>
    <col min="3" max="3" width="11.5703125" customWidth="1"/>
    <col min="5" max="5" width="9.7109375" style="300" customWidth="1"/>
    <col min="6" max="6" width="16.85546875" style="29" customWidth="1"/>
    <col min="7" max="7" width="7.85546875" customWidth="1"/>
    <col min="8" max="8" width="6.85546875" customWidth="1"/>
  </cols>
  <sheetData>
    <row r="1" spans="1:6" ht="28.5" customHeight="1">
      <c r="A1" s="382" t="s">
        <v>0</v>
      </c>
      <c r="B1" s="383"/>
      <c r="C1" s="383"/>
      <c r="D1" s="383"/>
      <c r="E1" s="383"/>
      <c r="F1" s="384"/>
    </row>
    <row r="2" spans="1:6" ht="27.75" customHeight="1">
      <c r="A2" s="440" t="s">
        <v>83</v>
      </c>
      <c r="B2" s="441"/>
      <c r="C2" s="441"/>
      <c r="D2" s="441"/>
      <c r="E2" s="441"/>
      <c r="F2" s="442"/>
    </row>
    <row r="3" spans="1:6" ht="55.5" customHeight="1">
      <c r="A3" s="443" t="s">
        <v>300</v>
      </c>
      <c r="B3" s="444"/>
      <c r="C3" s="444"/>
      <c r="D3" s="444"/>
      <c r="E3" s="444"/>
      <c r="F3" s="445"/>
    </row>
    <row r="4" spans="1:6" ht="37.5">
      <c r="A4" s="223" t="s">
        <v>2</v>
      </c>
      <c r="B4" s="222" t="s">
        <v>3</v>
      </c>
      <c r="C4" s="222" t="s">
        <v>4</v>
      </c>
      <c r="D4" s="222" t="s">
        <v>5</v>
      </c>
      <c r="E4" s="223" t="s">
        <v>211</v>
      </c>
      <c r="F4" s="286" t="s">
        <v>7</v>
      </c>
    </row>
    <row r="5" spans="1:6" ht="150">
      <c r="A5" s="84" t="s">
        <v>278</v>
      </c>
      <c r="B5" s="287" t="s">
        <v>279</v>
      </c>
      <c r="C5" s="164">
        <v>67.489999999999995</v>
      </c>
      <c r="D5" s="288" t="s">
        <v>44</v>
      </c>
      <c r="E5" s="164">
        <v>167.33</v>
      </c>
      <c r="F5" s="164">
        <f>C5*E5</f>
        <v>11293.101699999999</v>
      </c>
    </row>
    <row r="6" spans="1:6" ht="111" customHeight="1">
      <c r="A6" s="84" t="s">
        <v>280</v>
      </c>
      <c r="B6" s="287" t="s">
        <v>10</v>
      </c>
      <c r="C6" s="164">
        <v>4.32</v>
      </c>
      <c r="D6" s="164" t="s">
        <v>44</v>
      </c>
      <c r="E6" s="164">
        <v>589.51</v>
      </c>
      <c r="F6" s="164">
        <f t="shared" ref="F6:F18" si="0">C6*E6</f>
        <v>2546.6831999999999</v>
      </c>
    </row>
    <row r="7" spans="1:6" ht="78.95" customHeight="1">
      <c r="A7" s="84" t="s">
        <v>281</v>
      </c>
      <c r="B7" s="287" t="s">
        <v>282</v>
      </c>
      <c r="C7" s="164">
        <v>10.31</v>
      </c>
      <c r="D7" s="288"/>
      <c r="E7" s="164">
        <v>1756.4</v>
      </c>
      <c r="F7" s="164">
        <f t="shared" si="0"/>
        <v>18108.484</v>
      </c>
    </row>
    <row r="8" spans="1:6" ht="117.6" customHeight="1">
      <c r="A8" s="84" t="s">
        <v>283</v>
      </c>
      <c r="B8" s="289" t="s">
        <v>284</v>
      </c>
      <c r="C8" s="288">
        <v>26.55</v>
      </c>
      <c r="D8" s="164"/>
      <c r="E8" s="234">
        <v>6082.45</v>
      </c>
      <c r="F8" s="164">
        <f t="shared" si="0"/>
        <v>161489.04749999999</v>
      </c>
    </row>
    <row r="9" spans="1:6" ht="135">
      <c r="A9" s="84" t="s">
        <v>285</v>
      </c>
      <c r="B9" s="287" t="s">
        <v>286</v>
      </c>
      <c r="C9" s="288">
        <v>12.59</v>
      </c>
      <c r="D9" s="234" t="s">
        <v>44</v>
      </c>
      <c r="E9" s="234">
        <v>6308.87</v>
      </c>
      <c r="F9" s="164">
        <f t="shared" si="0"/>
        <v>79428.673299999995</v>
      </c>
    </row>
    <row r="10" spans="1:6" ht="60">
      <c r="A10" s="84" t="s">
        <v>287</v>
      </c>
      <c r="B10" s="290" t="s">
        <v>288</v>
      </c>
      <c r="C10" s="288">
        <v>1.44</v>
      </c>
      <c r="D10" s="234"/>
      <c r="E10" s="234">
        <v>83314.02</v>
      </c>
      <c r="F10" s="164">
        <f t="shared" si="0"/>
        <v>119972.1888</v>
      </c>
    </row>
    <row r="11" spans="1:6" ht="82.5" customHeight="1">
      <c r="A11" s="84" t="s">
        <v>289</v>
      </c>
      <c r="B11" s="290" t="s">
        <v>290</v>
      </c>
      <c r="C11" s="288">
        <v>1.9</v>
      </c>
      <c r="D11" s="234" t="s">
        <v>275</v>
      </c>
      <c r="E11" s="288">
        <v>82096.539999999994</v>
      </c>
      <c r="F11" s="164">
        <f t="shared" si="0"/>
        <v>155983.42599999998</v>
      </c>
    </row>
    <row r="12" spans="1:6" ht="60">
      <c r="A12" s="84" t="s">
        <v>291</v>
      </c>
      <c r="B12" s="287" t="s">
        <v>202</v>
      </c>
      <c r="C12" s="288">
        <v>197.66</v>
      </c>
      <c r="D12" s="234" t="s">
        <v>45</v>
      </c>
      <c r="E12" s="234">
        <v>194.5</v>
      </c>
      <c r="F12" s="164">
        <f t="shared" si="0"/>
        <v>38444.870000000003</v>
      </c>
    </row>
    <row r="13" spans="1:6" ht="16.5" customHeight="1">
      <c r="A13" s="84">
        <v>9</v>
      </c>
      <c r="B13" s="291" t="s">
        <v>13</v>
      </c>
      <c r="C13" s="79"/>
      <c r="D13" s="84"/>
      <c r="E13" s="84"/>
      <c r="F13" s="80"/>
    </row>
    <row r="14" spans="1:6" ht="20.25" customHeight="1">
      <c r="A14" s="84" t="s">
        <v>14</v>
      </c>
      <c r="B14" s="290" t="s">
        <v>292</v>
      </c>
      <c r="C14" s="79">
        <v>16.829999999999998</v>
      </c>
      <c r="D14" s="84" t="s">
        <v>8</v>
      </c>
      <c r="E14" s="288">
        <v>744.66</v>
      </c>
      <c r="F14" s="80">
        <f t="shared" si="0"/>
        <v>12532.627799999998</v>
      </c>
    </row>
    <row r="15" spans="1:6">
      <c r="A15" s="84" t="s">
        <v>16</v>
      </c>
      <c r="B15" s="292" t="s">
        <v>293</v>
      </c>
      <c r="C15" s="79">
        <v>4.32</v>
      </c>
      <c r="D15" s="84" t="s">
        <v>8</v>
      </c>
      <c r="E15" s="288">
        <v>387.54</v>
      </c>
      <c r="F15" s="80">
        <f t="shared" si="0"/>
        <v>1674.1728000000003</v>
      </c>
    </row>
    <row r="16" spans="1:6">
      <c r="A16" s="84" t="s">
        <v>18</v>
      </c>
      <c r="B16" s="290" t="s">
        <v>294</v>
      </c>
      <c r="C16" s="79">
        <v>33.659999999999997</v>
      </c>
      <c r="D16" s="84" t="s">
        <v>8</v>
      </c>
      <c r="E16" s="288">
        <v>342.9</v>
      </c>
      <c r="F16" s="80">
        <f t="shared" si="0"/>
        <v>11542.013999999997</v>
      </c>
    </row>
    <row r="17" spans="1:6">
      <c r="A17" s="84" t="s">
        <v>20</v>
      </c>
      <c r="B17" s="290" t="s">
        <v>295</v>
      </c>
      <c r="C17" s="79">
        <v>10.31</v>
      </c>
      <c r="D17" s="84" t="s">
        <v>8</v>
      </c>
      <c r="E17" s="288">
        <v>570.94000000000005</v>
      </c>
      <c r="F17" s="80">
        <f t="shared" si="0"/>
        <v>5886.3914000000004</v>
      </c>
    </row>
    <row r="18" spans="1:6">
      <c r="A18" s="84" t="s">
        <v>22</v>
      </c>
      <c r="B18" s="290" t="s">
        <v>205</v>
      </c>
      <c r="C18" s="79">
        <v>67.489999999999995</v>
      </c>
      <c r="D18" s="84" t="s">
        <v>8</v>
      </c>
      <c r="E18" s="288">
        <v>117.54</v>
      </c>
      <c r="F18" s="80">
        <f t="shared" si="0"/>
        <v>7932.7745999999997</v>
      </c>
    </row>
    <row r="19" spans="1:6" ht="18.75">
      <c r="A19" s="238"/>
      <c r="B19" s="293"/>
      <c r="C19" s="446" t="s">
        <v>52</v>
      </c>
      <c r="D19" s="447"/>
      <c r="E19" s="448"/>
      <c r="F19" s="34">
        <f>SUM(F5:F18)</f>
        <v>626834.4550999999</v>
      </c>
    </row>
    <row r="20" spans="1:6" ht="18.75">
      <c r="A20" s="238"/>
      <c r="B20" s="293"/>
      <c r="C20" s="294"/>
      <c r="D20" s="439" t="s">
        <v>25</v>
      </c>
      <c r="E20" s="439"/>
      <c r="F20" s="34">
        <f>ROUND(F19*0.18,2)</f>
        <v>112830.2</v>
      </c>
    </row>
    <row r="21" spans="1:6" ht="18.75">
      <c r="A21" s="295"/>
      <c r="B21" s="293"/>
      <c r="C21" s="296"/>
      <c r="D21" s="439" t="s">
        <v>24</v>
      </c>
      <c r="E21" s="439"/>
      <c r="F21" s="34">
        <f>SUM(F19:F20)</f>
        <v>739664.65509999986</v>
      </c>
    </row>
    <row r="22" spans="1:6" ht="20.25" customHeight="1">
      <c r="A22" s="295"/>
      <c r="B22" s="295"/>
      <c r="C22" s="439" t="s">
        <v>35</v>
      </c>
      <c r="D22" s="439"/>
      <c r="E22" s="439"/>
      <c r="F22" s="34">
        <f>ROUND(F21*0.01,2)</f>
        <v>7396.65</v>
      </c>
    </row>
    <row r="23" spans="1:6" ht="15.6" customHeight="1">
      <c r="A23" s="295"/>
      <c r="B23" s="295"/>
      <c r="C23" s="294"/>
      <c r="D23" s="439" t="s">
        <v>24</v>
      </c>
      <c r="E23" s="439"/>
      <c r="F23" s="34">
        <f>SUM(F21:F22)</f>
        <v>747061.30509999988</v>
      </c>
    </row>
    <row r="24" spans="1:6" ht="15.6" customHeight="1">
      <c r="A24" s="295"/>
      <c r="B24" s="295"/>
      <c r="C24" s="439"/>
      <c r="D24" s="439"/>
      <c r="E24" s="439"/>
      <c r="F24" s="34"/>
    </row>
    <row r="25" spans="1:6" ht="18" customHeight="1">
      <c r="A25" s="75"/>
      <c r="B25" s="297"/>
      <c r="C25" s="297"/>
      <c r="D25" s="297"/>
      <c r="E25" s="114"/>
      <c r="F25" s="298"/>
    </row>
    <row r="26" spans="1:6" ht="20.45" customHeight="1">
      <c r="A26" s="75"/>
      <c r="B26" s="297"/>
      <c r="C26" s="297"/>
      <c r="D26" s="297"/>
      <c r="E26" s="114"/>
      <c r="F26" s="298"/>
    </row>
    <row r="27" spans="1:6" ht="20.45" customHeight="1">
      <c r="A27" s="75"/>
      <c r="B27" s="297"/>
      <c r="C27" s="297"/>
      <c r="D27" s="297"/>
      <c r="E27" s="114"/>
      <c r="F27" s="298"/>
    </row>
    <row r="28" spans="1:6" ht="20.45" customHeight="1">
      <c r="A28" s="75"/>
      <c r="B28" s="231"/>
      <c r="C28" s="297"/>
      <c r="D28" s="297"/>
      <c r="E28" s="114"/>
      <c r="F28" s="51"/>
    </row>
    <row r="29" spans="1:6" ht="20.45" customHeight="1">
      <c r="A29" s="75"/>
      <c r="B29" s="231"/>
      <c r="C29" s="297"/>
      <c r="D29" s="297"/>
      <c r="E29" s="114"/>
      <c r="F29" s="51"/>
    </row>
    <row r="30" spans="1:6" ht="20.45" customHeight="1">
      <c r="C30" s="245"/>
      <c r="D30" s="245"/>
      <c r="E30" s="299"/>
    </row>
    <row r="31" spans="1:6" ht="20.45" customHeight="1">
      <c r="C31" s="245"/>
      <c r="D31" s="245"/>
      <c r="E31" s="299"/>
    </row>
    <row r="32" spans="1:6" ht="20.45" customHeight="1">
      <c r="C32" s="245"/>
      <c r="D32" s="245"/>
      <c r="E32" s="299"/>
    </row>
    <row r="33" spans="3:5">
      <c r="C33" s="245"/>
      <c r="D33" s="245"/>
      <c r="E33" s="299"/>
    </row>
    <row r="34" spans="3:5" ht="18" customHeight="1">
      <c r="C34" s="245"/>
      <c r="D34" s="245"/>
      <c r="E34" s="299"/>
    </row>
    <row r="35" spans="3:5" ht="27.6" customHeight="1">
      <c r="C35" s="245"/>
      <c r="D35" s="245"/>
      <c r="E35" s="299"/>
    </row>
    <row r="36" spans="3:5">
      <c r="C36" s="245"/>
      <c r="D36" s="245"/>
      <c r="E36" s="299"/>
    </row>
    <row r="37" spans="3:5">
      <c r="C37" s="245"/>
      <c r="D37" s="245"/>
      <c r="E37" s="299"/>
    </row>
    <row r="38" spans="3:5">
      <c r="C38" s="245"/>
      <c r="D38" s="245"/>
      <c r="E38" s="299"/>
    </row>
    <row r="39" spans="3:5">
      <c r="C39" s="245"/>
      <c r="D39" s="245"/>
      <c r="E39" s="299"/>
    </row>
    <row r="40" spans="3:5">
      <c r="C40" s="245"/>
      <c r="D40" s="245"/>
      <c r="E40" s="299"/>
    </row>
    <row r="41" spans="3:5">
      <c r="C41" s="245"/>
      <c r="D41" s="245"/>
      <c r="E41" s="299"/>
    </row>
    <row r="42" spans="3:5">
      <c r="C42" s="245"/>
      <c r="D42" s="245"/>
      <c r="E42" s="299"/>
    </row>
    <row r="43" spans="3:5" ht="16.350000000000001" customHeight="1">
      <c r="C43" s="245"/>
      <c r="D43" s="245"/>
      <c r="E43" s="299"/>
    </row>
    <row r="44" spans="3:5" ht="16.350000000000001" customHeight="1">
      <c r="C44" s="245"/>
      <c r="D44" s="245"/>
      <c r="E44" s="299"/>
    </row>
    <row r="45" spans="3:5">
      <c r="C45" s="245"/>
      <c r="D45" s="245"/>
      <c r="E45" s="299"/>
    </row>
    <row r="46" spans="3:5">
      <c r="C46" s="245"/>
      <c r="D46" s="245"/>
      <c r="E46" s="299"/>
    </row>
    <row r="47" spans="3:5" ht="62.25" customHeight="1">
      <c r="C47" s="245"/>
      <c r="D47" s="245"/>
      <c r="E47" s="299"/>
    </row>
    <row r="48" spans="3:5">
      <c r="C48" s="245"/>
      <c r="D48" s="245"/>
      <c r="E48" s="299"/>
    </row>
    <row r="49" spans="3:5">
      <c r="C49" s="245"/>
      <c r="D49" s="245"/>
      <c r="E49" s="299"/>
    </row>
    <row r="50" spans="3:5">
      <c r="C50" s="245"/>
      <c r="D50" s="245"/>
      <c r="E50" s="299"/>
    </row>
    <row r="51" spans="3:5">
      <c r="C51" s="245"/>
      <c r="D51" s="245"/>
      <c r="E51" s="299"/>
    </row>
    <row r="52" spans="3:5">
      <c r="C52" s="245"/>
      <c r="D52" s="245"/>
      <c r="E52" s="299"/>
    </row>
    <row r="53" spans="3:5">
      <c r="C53" s="245"/>
      <c r="D53" s="245"/>
      <c r="E53" s="299"/>
    </row>
    <row r="54" spans="3:5">
      <c r="C54" s="245"/>
      <c r="D54" s="245"/>
      <c r="E54" s="299"/>
    </row>
    <row r="55" spans="3:5">
      <c r="C55" s="245"/>
      <c r="D55" s="245"/>
      <c r="E55" s="299"/>
    </row>
    <row r="56" spans="3:5">
      <c r="C56" s="245"/>
      <c r="D56" s="245"/>
      <c r="E56" s="299"/>
    </row>
    <row r="57" spans="3:5">
      <c r="C57" s="245"/>
      <c r="D57" s="245"/>
      <c r="E57" s="299"/>
    </row>
    <row r="58" spans="3:5">
      <c r="C58" s="245"/>
      <c r="D58" s="245"/>
      <c r="E58" s="299"/>
    </row>
    <row r="59" spans="3:5">
      <c r="C59" s="245"/>
      <c r="D59" s="245"/>
      <c r="E59" s="299"/>
    </row>
    <row r="60" spans="3:5">
      <c r="C60" s="245"/>
      <c r="D60" s="245"/>
      <c r="E60" s="299"/>
    </row>
  </sheetData>
  <mergeCells count="9">
    <mergeCell ref="C22:E22"/>
    <mergeCell ref="D23:E23"/>
    <mergeCell ref="C24:E24"/>
    <mergeCell ref="A1:F1"/>
    <mergeCell ref="A2:F2"/>
    <mergeCell ref="A3:F3"/>
    <mergeCell ref="C19:E19"/>
    <mergeCell ref="D20:E20"/>
    <mergeCell ref="D21:E2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ColWidth="9.140625" defaultRowHeight="15"/>
  <cols>
    <col min="1" max="1" width="9.28515625" style="88" bestFit="1" customWidth="1"/>
    <col min="2" max="2" width="42.28515625" style="89" customWidth="1"/>
    <col min="3" max="3" width="9.140625" style="75" customWidth="1"/>
    <col min="4" max="4" width="9.140625" style="90"/>
    <col min="5" max="5" width="11.28515625" style="91" bestFit="1" customWidth="1"/>
    <col min="6" max="6" width="16.42578125" style="91" customWidth="1"/>
    <col min="7" max="16384" width="9.140625" style="75"/>
  </cols>
  <sheetData>
    <row r="1" spans="1:6" ht="60.75" customHeight="1">
      <c r="A1" s="305" t="s">
        <v>0</v>
      </c>
      <c r="B1" s="305"/>
      <c r="C1" s="305"/>
      <c r="D1" s="305"/>
      <c r="E1" s="305"/>
      <c r="F1" s="305"/>
    </row>
    <row r="2" spans="1:6" ht="18.75">
      <c r="A2" s="306" t="s">
        <v>38</v>
      </c>
      <c r="B2" s="306"/>
      <c r="C2" s="306"/>
      <c r="D2" s="306"/>
      <c r="E2" s="306"/>
      <c r="F2" s="306"/>
    </row>
    <row r="3" spans="1:6" ht="55.5" customHeight="1">
      <c r="A3" s="310" t="str">
        <f>[4]Sheet1!A3</f>
        <v>Name of Work :- Repairing of PCC Road at Kokar,Khorhatoli,Gali No-01,Near Don Bosco School under ward no-07</v>
      </c>
      <c r="B3" s="310"/>
      <c r="C3" s="310"/>
      <c r="D3" s="310"/>
      <c r="E3" s="310"/>
      <c r="F3" s="310"/>
    </row>
    <row r="4" spans="1:6">
      <c r="A4" s="76" t="s">
        <v>39</v>
      </c>
      <c r="B4" s="76" t="s">
        <v>40</v>
      </c>
      <c r="C4" s="76" t="s">
        <v>41</v>
      </c>
      <c r="D4" s="76" t="s">
        <v>5</v>
      </c>
      <c r="E4" s="77" t="s">
        <v>42</v>
      </c>
      <c r="F4" s="77" t="s">
        <v>43</v>
      </c>
    </row>
    <row r="5" spans="1:6" ht="120">
      <c r="A5" s="78" t="str">
        <f>[4]Sheet1!A5</f>
        <v>1.            5.1.1</v>
      </c>
      <c r="B5" s="79" t="str">
        <f>[4]Sheet1!B5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80">
        <f>[4]Sheet1!G8</f>
        <v>38.74</v>
      </c>
      <c r="D5" s="81" t="str">
        <f>D6</f>
        <v>M3</v>
      </c>
      <c r="E5" s="82">
        <f>[4]Sheet1!I8</f>
        <v>151.82</v>
      </c>
      <c r="F5" s="82">
        <f>C5*E5</f>
        <v>5881.5068000000001</v>
      </c>
    </row>
    <row r="6" spans="1:6" ht="120">
      <c r="A6" s="78" t="str">
        <f>[4]Sheet1!A9</f>
        <v>2  4/M004</v>
      </c>
      <c r="B6" s="79" t="str">
        <f>[4]Sheet1!B9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80">
        <f>[4]Sheet1!G12</f>
        <v>10.88</v>
      </c>
      <c r="D6" s="81" t="s">
        <v>44</v>
      </c>
      <c r="E6" s="82">
        <f>[4]Sheet1!I12</f>
        <v>347.85</v>
      </c>
      <c r="F6" s="82">
        <f t="shared" ref="F6:F15" si="0">C6*E6</f>
        <v>3784.6080000000006</v>
      </c>
    </row>
    <row r="7" spans="1:6" ht="90">
      <c r="A7" s="78" t="str">
        <f>[4]Sheet1!A13</f>
        <v>3 5.6.8WRD</v>
      </c>
      <c r="B7" s="79" t="str">
        <f>[4]Sheet1!B13</f>
        <v>Supplying and laying (properly as per design and drawing) rip-rap with good  quality of boulders duly packed including the cost of materials, royalty all taxes etc. but excluding the cost of carriage all complete as per specification and direction of E/I.</v>
      </c>
      <c r="C7" s="80">
        <f>[4]Sheet1!G16</f>
        <v>27.87</v>
      </c>
      <c r="D7" s="81" t="s">
        <v>44</v>
      </c>
      <c r="E7" s="82">
        <f>[4]Sheet1!I16</f>
        <v>1756.4</v>
      </c>
      <c r="F7" s="82">
        <f t="shared" si="0"/>
        <v>48950.868000000002</v>
      </c>
    </row>
    <row r="8" spans="1:6" ht="90">
      <c r="A8" s="78" t="str">
        <f>[4]Sheet1!A17</f>
        <v>4 5.3.1.1</v>
      </c>
      <c r="B8" s="79" t="str">
        <f>[4]Sheet1!B17</f>
        <v>Providing and laying in position cement concrete of specified grade excluding the cost of centering and shuttering - All work up to plinth level1:1.5:3 (1 Cement : 1.5 coarse sand zone(III): 3 graded stone aggregate 20mm nominal size)</v>
      </c>
      <c r="C8" s="80">
        <f>[4]Sheet1!G21</f>
        <v>66.16</v>
      </c>
      <c r="D8" s="81" t="s">
        <v>44</v>
      </c>
      <c r="E8" s="82">
        <f>[4]Sheet1!I21</f>
        <v>4961.7299999999996</v>
      </c>
      <c r="F8" s="82">
        <f t="shared" si="0"/>
        <v>328268.05679999996</v>
      </c>
    </row>
    <row r="9" spans="1:6" ht="60">
      <c r="A9" s="78" t="str">
        <f>[4]Sheet1!A22</f>
        <v>55.3.17.1</v>
      </c>
      <c r="B9" s="79" t="str">
        <f>[4]Sheet1!B22</f>
        <v>Centering and Shuttering including strutting, propping etc and removal of from for   Foundation , footing , bases of columns etc for mass concrete.</v>
      </c>
      <c r="C9" s="80">
        <f>[4]Sheet1!G25</f>
        <v>29</v>
      </c>
      <c r="D9" s="81" t="s">
        <v>45</v>
      </c>
      <c r="E9" s="82">
        <f>[4]Sheet1!I25</f>
        <v>194.5</v>
      </c>
      <c r="F9" s="82">
        <f t="shared" si="0"/>
        <v>5640.5</v>
      </c>
    </row>
    <row r="10" spans="1:6">
      <c r="A10" s="83">
        <v>6</v>
      </c>
      <c r="B10" s="84" t="s">
        <v>46</v>
      </c>
      <c r="C10" s="85"/>
      <c r="D10" s="81"/>
      <c r="E10" s="82"/>
      <c r="F10" s="82"/>
    </row>
    <row r="11" spans="1:6">
      <c r="A11" s="86" t="s">
        <v>14</v>
      </c>
      <c r="B11" s="87" t="str">
        <f>[4]Sheet1!B27</f>
        <v>Sand  (Lead Upto 49 km)</v>
      </c>
      <c r="C11" s="80">
        <f>[4]Sheet1!G27</f>
        <v>28.45</v>
      </c>
      <c r="D11" s="81" t="s">
        <v>44</v>
      </c>
      <c r="E11" s="92">
        <f>[4]Sheet1!I27</f>
        <v>848.82</v>
      </c>
      <c r="F11" s="82">
        <f t="shared" si="0"/>
        <v>24148.929</v>
      </c>
    </row>
    <row r="12" spans="1:6">
      <c r="A12" s="86" t="s">
        <v>16</v>
      </c>
      <c r="B12" s="87" t="str">
        <f>[4]Sheet1!B28</f>
        <v>Stone Dust (Lead 22 KM)</v>
      </c>
      <c r="C12" s="79">
        <f>[4]Sheet1!G28</f>
        <v>10.88</v>
      </c>
      <c r="D12" s="81" t="s">
        <v>44</v>
      </c>
      <c r="E12" s="92">
        <f>[4]Sheet1!I28</f>
        <v>447.06</v>
      </c>
      <c r="F12" s="82">
        <f t="shared" si="0"/>
        <v>4864.0128000000004</v>
      </c>
    </row>
    <row r="13" spans="1:6">
      <c r="A13" s="86" t="s">
        <v>18</v>
      </c>
      <c r="B13" s="87" t="str">
        <f>[4]Sheet1!B29</f>
        <v>Stone Boulder (Lead 36  KM)</v>
      </c>
      <c r="C13" s="80">
        <f>[4]Sheet1!G29</f>
        <v>27.87</v>
      </c>
      <c r="D13" s="81" t="s">
        <v>44</v>
      </c>
      <c r="E13" s="92">
        <f>[4]Sheet1!I29</f>
        <v>679.66</v>
      </c>
      <c r="F13" s="82">
        <f t="shared" si="0"/>
        <v>18942.124199999998</v>
      </c>
    </row>
    <row r="14" spans="1:6">
      <c r="A14" s="86" t="s">
        <v>20</v>
      </c>
      <c r="B14" s="87" t="str">
        <f>[4]Sheet1!B30</f>
        <v>Stone Chips (Lead 22KM)</v>
      </c>
      <c r="C14" s="80">
        <f>[4]Sheet1!G30</f>
        <v>56.9</v>
      </c>
      <c r="D14" s="81" t="s">
        <v>44</v>
      </c>
      <c r="E14" s="92">
        <f>[4]Sheet1!I30</f>
        <v>447.06</v>
      </c>
      <c r="F14" s="82">
        <f t="shared" si="0"/>
        <v>25437.714</v>
      </c>
    </row>
    <row r="15" spans="1:6">
      <c r="A15" s="86" t="s">
        <v>22</v>
      </c>
      <c r="B15" s="87" t="str">
        <f>[4]Sheet1!B31</f>
        <v>Earth (Lead 01 KM)</v>
      </c>
      <c r="C15" s="79">
        <f>[4]Sheet1!G31</f>
        <v>38.74</v>
      </c>
      <c r="D15" s="81" t="s">
        <v>44</v>
      </c>
      <c r="E15" s="92">
        <f>[4]Sheet1!I31</f>
        <v>117.54</v>
      </c>
      <c r="F15" s="82">
        <f t="shared" si="0"/>
        <v>4553.4996000000001</v>
      </c>
    </row>
    <row r="16" spans="1:6" ht="18.75">
      <c r="A16" s="83"/>
      <c r="B16" s="84"/>
      <c r="C16" s="85"/>
      <c r="D16" s="81"/>
      <c r="E16" s="82" t="s">
        <v>52</v>
      </c>
      <c r="F16" s="44">
        <f>SUM(F5:F15)</f>
        <v>470471.81919999997</v>
      </c>
    </row>
    <row r="17" spans="1:6" ht="18.75">
      <c r="A17" s="304" t="s">
        <v>53</v>
      </c>
      <c r="B17" s="304"/>
      <c r="C17" s="304"/>
      <c r="D17" s="304"/>
      <c r="E17" s="304"/>
      <c r="F17" s="44">
        <f>ROUND((F16*18%),2)</f>
        <v>84684.93</v>
      </c>
    </row>
    <row r="18" spans="1:6" ht="18.75">
      <c r="A18" s="304" t="s">
        <v>24</v>
      </c>
      <c r="B18" s="304" t="s">
        <v>24</v>
      </c>
      <c r="C18" s="304"/>
      <c r="D18" s="304"/>
      <c r="E18" s="304"/>
      <c r="F18" s="44">
        <f>F16+F17</f>
        <v>555156.74919999996</v>
      </c>
    </row>
    <row r="19" spans="1:6" ht="18.75">
      <c r="A19" s="304" t="s">
        <v>54</v>
      </c>
      <c r="B19" s="304" t="s">
        <v>55</v>
      </c>
      <c r="C19" s="304"/>
      <c r="D19" s="304"/>
      <c r="E19" s="304"/>
      <c r="F19" s="44">
        <f>ROUND((F18*1%),2)</f>
        <v>5551.57</v>
      </c>
    </row>
    <row r="20" spans="1:6" ht="18.75">
      <c r="A20" s="304" t="s">
        <v>24</v>
      </c>
      <c r="B20" s="304" t="s">
        <v>24</v>
      </c>
      <c r="C20" s="304"/>
      <c r="D20" s="304"/>
      <c r="E20" s="304"/>
      <c r="F20" s="44">
        <f>F18+F19</f>
        <v>560708.31919999991</v>
      </c>
    </row>
    <row r="21" spans="1:6" ht="18.75">
      <c r="A21" s="304" t="s">
        <v>27</v>
      </c>
      <c r="B21" s="304" t="s">
        <v>27</v>
      </c>
      <c r="C21" s="304"/>
      <c r="D21" s="304"/>
      <c r="E21" s="304"/>
      <c r="F21" s="44">
        <f>ROUND((F20),0)</f>
        <v>560708</v>
      </c>
    </row>
  </sheetData>
  <mergeCells count="8">
    <mergeCell ref="A20:E20"/>
    <mergeCell ref="A21:E21"/>
    <mergeCell ref="A1:F1"/>
    <mergeCell ref="A2:F2"/>
    <mergeCell ref="A3:F3"/>
    <mergeCell ref="A17:E17"/>
    <mergeCell ref="A18:E18"/>
    <mergeCell ref="A19:E19"/>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238</v>
      </c>
      <c r="B3" s="438"/>
      <c r="C3" s="438"/>
      <c r="D3" s="438"/>
      <c r="E3" s="438"/>
      <c r="F3" s="438"/>
    </row>
    <row r="4" spans="1:6" ht="30">
      <c r="A4" s="84" t="s">
        <v>85</v>
      </c>
      <c r="B4" s="85" t="s">
        <v>3</v>
      </c>
      <c r="C4" s="232" t="s">
        <v>4</v>
      </c>
      <c r="D4" s="85" t="s">
        <v>5</v>
      </c>
      <c r="E4" s="233" t="s">
        <v>211</v>
      </c>
      <c r="F4" s="234" t="s">
        <v>212</v>
      </c>
    </row>
    <row r="5" spans="1:6" ht="147.75" customHeight="1">
      <c r="A5" s="84" t="s">
        <v>213</v>
      </c>
      <c r="B5" s="235" t="s">
        <v>214</v>
      </c>
      <c r="C5" s="93">
        <f>268/35.31</f>
        <v>7.5899178702917016</v>
      </c>
      <c r="D5" s="80" t="s">
        <v>8</v>
      </c>
      <c r="E5" s="80">
        <v>167.33</v>
      </c>
      <c r="F5" s="80">
        <f>C5*E5</f>
        <v>1270.0209572359106</v>
      </c>
    </row>
    <row r="6" spans="1:6" ht="105.75" customHeight="1">
      <c r="A6" s="84" t="s">
        <v>215</v>
      </c>
      <c r="B6" s="236" t="s">
        <v>216</v>
      </c>
      <c r="C6" s="80">
        <v>0.91</v>
      </c>
      <c r="D6" s="80" t="s">
        <v>8</v>
      </c>
      <c r="E6" s="80">
        <v>589.51</v>
      </c>
      <c r="F6" s="80">
        <f>PRODUCT(C6,E6)</f>
        <v>536.45410000000004</v>
      </c>
    </row>
    <row r="7" spans="1:6" ht="90">
      <c r="A7" s="84" t="s">
        <v>217</v>
      </c>
      <c r="B7" s="237" t="s">
        <v>183</v>
      </c>
      <c r="C7" s="80">
        <v>4.72</v>
      </c>
      <c r="D7" s="80" t="s">
        <v>8</v>
      </c>
      <c r="E7" s="80">
        <v>1756.4</v>
      </c>
      <c r="F7" s="80">
        <f>PRODUCT(C7,E7)</f>
        <v>8290.2080000000005</v>
      </c>
    </row>
    <row r="8" spans="1:6" ht="60">
      <c r="A8" s="238" t="s">
        <v>218</v>
      </c>
      <c r="B8" s="239" t="s">
        <v>219</v>
      </c>
      <c r="C8" s="80">
        <v>41.82</v>
      </c>
      <c r="D8" s="80" t="s">
        <v>70</v>
      </c>
      <c r="E8" s="85">
        <v>194.5</v>
      </c>
      <c r="F8" s="80">
        <f>PRODUCT(C8,E8)</f>
        <v>8133.99</v>
      </c>
    </row>
    <row r="9" spans="1:6" ht="90">
      <c r="A9" s="233" t="s">
        <v>220</v>
      </c>
      <c r="B9" s="233" t="s">
        <v>221</v>
      </c>
      <c r="C9" s="93">
        <v>63.720999999999997</v>
      </c>
      <c r="D9" s="80" t="s">
        <v>44</v>
      </c>
      <c r="E9" s="80">
        <v>4961.7299999999996</v>
      </c>
      <c r="F9" s="80">
        <f>PRODUCT(C9,E9)</f>
        <v>316166.39732999995</v>
      </c>
    </row>
    <row r="10" spans="1:6">
      <c r="A10" s="84">
        <v>6</v>
      </c>
      <c r="B10" s="240" t="s">
        <v>13</v>
      </c>
      <c r="C10" s="241"/>
      <c r="D10" s="164"/>
      <c r="E10" s="242"/>
      <c r="F10" s="241"/>
    </row>
    <row r="11" spans="1:6">
      <c r="A11" s="238"/>
      <c r="B11" s="85" t="s">
        <v>36</v>
      </c>
      <c r="C11" s="164">
        <v>27.4</v>
      </c>
      <c r="D11" s="164" t="s">
        <v>8</v>
      </c>
      <c r="E11" s="80">
        <v>744.66</v>
      </c>
      <c r="F11" s="164">
        <f>PRODUCT(C11:E11)</f>
        <v>20403.683999999997</v>
      </c>
    </row>
    <row r="12" spans="1:6">
      <c r="A12" s="238"/>
      <c r="B12" s="85" t="s">
        <v>222</v>
      </c>
      <c r="C12" s="164">
        <v>0.91</v>
      </c>
      <c r="D12" s="164" t="s">
        <v>8</v>
      </c>
      <c r="E12" s="80">
        <v>387.54</v>
      </c>
      <c r="F12" s="164">
        <f>PRODUCT(C12:E12)</f>
        <v>352.66140000000001</v>
      </c>
    </row>
    <row r="13" spans="1:6">
      <c r="A13" s="238"/>
      <c r="B13" s="80" t="s">
        <v>223</v>
      </c>
      <c r="C13" s="164">
        <v>54.8</v>
      </c>
      <c r="D13" s="164" t="s">
        <v>8</v>
      </c>
      <c r="E13" s="80">
        <v>342.9</v>
      </c>
      <c r="F13" s="164">
        <f>PRODUCT(C13:E13)</f>
        <v>18790.919999999998</v>
      </c>
    </row>
    <row r="14" spans="1:6">
      <c r="A14" s="238"/>
      <c r="B14" s="80" t="s">
        <v>204</v>
      </c>
      <c r="C14" s="243">
        <v>4.72</v>
      </c>
      <c r="D14" s="164" t="s">
        <v>8</v>
      </c>
      <c r="E14" s="80">
        <v>570.94000000000005</v>
      </c>
      <c r="F14" s="164">
        <f>PRODUCT(C14:E14)</f>
        <v>2694.8368</v>
      </c>
    </row>
    <row r="15" spans="1:6">
      <c r="A15" s="238"/>
      <c r="B15" s="234" t="s">
        <v>205</v>
      </c>
      <c r="C15" s="164">
        <v>7.59</v>
      </c>
      <c r="D15" s="164" t="s">
        <v>8</v>
      </c>
      <c r="E15" s="234">
        <v>117.54</v>
      </c>
      <c r="F15" s="164">
        <f>PRODUCT(C15:E15)</f>
        <v>892.12860000000001</v>
      </c>
    </row>
    <row r="16" spans="1:6">
      <c r="A16" s="238"/>
      <c r="B16" s="238"/>
      <c r="C16" s="433" t="s">
        <v>52</v>
      </c>
      <c r="D16" s="433"/>
      <c r="E16" s="434"/>
      <c r="F16" s="80">
        <f>SUM(F5:F15)</f>
        <v>377531.3011872358</v>
      </c>
    </row>
    <row r="17" spans="1:6">
      <c r="A17" s="238"/>
      <c r="B17" s="238"/>
      <c r="C17" s="433" t="s">
        <v>224</v>
      </c>
      <c r="D17" s="433"/>
      <c r="E17" s="434"/>
      <c r="F17" s="80">
        <f>F16*18%</f>
        <v>67955.634213702448</v>
      </c>
    </row>
    <row r="18" spans="1:6">
      <c r="A18" s="238"/>
      <c r="B18" s="238"/>
      <c r="C18" s="162"/>
      <c r="D18" s="162"/>
      <c r="E18" s="163" t="s">
        <v>52</v>
      </c>
      <c r="F18" s="80">
        <f>F16+F17</f>
        <v>445486.93540093827</v>
      </c>
    </row>
    <row r="19" spans="1:6">
      <c r="A19" s="238"/>
      <c r="B19" s="238"/>
      <c r="C19" s="433" t="s">
        <v>225</v>
      </c>
      <c r="D19" s="433"/>
      <c r="E19" s="434"/>
      <c r="F19" s="80">
        <f>PRODUCT(F18,0.01)</f>
        <v>4454.8693540093827</v>
      </c>
    </row>
    <row r="20" spans="1:6">
      <c r="A20" s="238"/>
      <c r="B20" s="238"/>
      <c r="C20" s="433" t="s">
        <v>52</v>
      </c>
      <c r="D20" s="433"/>
      <c r="E20" s="434"/>
      <c r="F20" s="80">
        <f>F18+F19</f>
        <v>449941.80475494766</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2:J64"/>
  <sheetViews>
    <sheetView workbookViewId="0">
      <selection activeCell="A4" sqref="A4:F4"/>
    </sheetView>
  </sheetViews>
  <sheetFormatPr defaultRowHeight="15"/>
  <cols>
    <col min="1" max="1" width="9" customWidth="1"/>
    <col min="2" max="2" width="56.85546875" customWidth="1"/>
    <col min="3" max="3" width="11.7109375" customWidth="1"/>
    <col min="4" max="4" width="5.28515625" customWidth="1"/>
    <col min="5" max="5" width="11" customWidth="1"/>
    <col min="6" max="6" width="25.5703125" bestFit="1" customWidth="1"/>
  </cols>
  <sheetData>
    <row r="2" spans="1:10" ht="30" customHeight="1">
      <c r="A2" s="460" t="s">
        <v>209</v>
      </c>
      <c r="B2" s="461"/>
      <c r="C2" s="461"/>
      <c r="D2" s="461"/>
      <c r="E2" s="461"/>
      <c r="F2" s="461"/>
    </row>
    <row r="3" spans="1:10" ht="43.5" customHeight="1">
      <c r="A3" s="462" t="s">
        <v>83</v>
      </c>
      <c r="B3" s="462"/>
      <c r="C3" s="462"/>
      <c r="D3" s="462"/>
      <c r="E3" s="462"/>
      <c r="F3" s="462"/>
    </row>
    <row r="4" spans="1:10" ht="45.75" customHeight="1">
      <c r="A4" s="463" t="s">
        <v>258</v>
      </c>
      <c r="B4" s="464"/>
      <c r="C4" s="464"/>
      <c r="D4" s="464"/>
      <c r="E4" s="464"/>
      <c r="F4" s="464"/>
      <c r="J4" s="262"/>
    </row>
    <row r="5" spans="1:10" ht="31.5">
      <c r="A5" s="263" t="s">
        <v>85</v>
      </c>
      <c r="B5" s="221" t="s">
        <v>3</v>
      </c>
      <c r="C5" s="264" t="s">
        <v>4</v>
      </c>
      <c r="D5" s="31" t="s">
        <v>5</v>
      </c>
      <c r="E5" s="265" t="s">
        <v>211</v>
      </c>
      <c r="F5" s="266" t="s">
        <v>212</v>
      </c>
    </row>
    <row r="6" spans="1:10" ht="147.75" customHeight="1">
      <c r="A6" s="30" t="s">
        <v>213</v>
      </c>
      <c r="B6" s="267" t="s">
        <v>214</v>
      </c>
      <c r="C6" s="268">
        <v>57.46</v>
      </c>
      <c r="D6" s="38" t="s">
        <v>44</v>
      </c>
      <c r="E6" s="268">
        <v>167.33</v>
      </c>
      <c r="F6" s="268">
        <f>E6*C6</f>
        <v>9614.7818000000007</v>
      </c>
      <c r="G6" s="112"/>
    </row>
    <row r="7" spans="1:10" ht="95.25" customHeight="1">
      <c r="A7" s="30" t="s">
        <v>215</v>
      </c>
      <c r="B7" s="269" t="s">
        <v>216</v>
      </c>
      <c r="C7" s="268">
        <v>5.38</v>
      </c>
      <c r="D7" s="38" t="s">
        <v>44</v>
      </c>
      <c r="E7" s="268">
        <v>589.51</v>
      </c>
      <c r="F7" s="268">
        <f t="shared" ref="F7:F23" si="0">E7*C7</f>
        <v>3171.5637999999999</v>
      </c>
      <c r="G7" s="112"/>
    </row>
    <row r="8" spans="1:10" ht="84.75" customHeight="1">
      <c r="A8" s="30" t="s">
        <v>217</v>
      </c>
      <c r="B8" s="270" t="s">
        <v>183</v>
      </c>
      <c r="C8" s="268">
        <v>8.9700000000000006</v>
      </c>
      <c r="D8" s="38" t="s">
        <v>44</v>
      </c>
      <c r="E8" s="268">
        <v>1756.4</v>
      </c>
      <c r="F8" s="268">
        <f t="shared" si="0"/>
        <v>15754.908000000001</v>
      </c>
      <c r="G8" s="112"/>
    </row>
    <row r="9" spans="1:10" ht="48.75" customHeight="1">
      <c r="A9" s="265" t="s">
        <v>259</v>
      </c>
      <c r="B9" s="265" t="s">
        <v>260</v>
      </c>
      <c r="C9" s="268"/>
      <c r="D9" s="34"/>
      <c r="E9" s="268"/>
      <c r="F9" s="268"/>
      <c r="G9" s="112"/>
    </row>
    <row r="10" spans="1:10" ht="33.75" customHeight="1">
      <c r="A10" s="265" t="s">
        <v>220</v>
      </c>
      <c r="B10" s="265" t="s">
        <v>261</v>
      </c>
      <c r="C10" s="268">
        <v>7.8</v>
      </c>
      <c r="D10" s="34"/>
      <c r="E10" s="268">
        <v>4598.2299999999996</v>
      </c>
      <c r="F10" s="268">
        <f t="shared" si="0"/>
        <v>35866.193999999996</v>
      </c>
      <c r="G10" s="112"/>
    </row>
    <row r="11" spans="1:10" ht="66.75" customHeight="1">
      <c r="A11" s="271" t="s">
        <v>262</v>
      </c>
      <c r="B11" s="272" t="s">
        <v>263</v>
      </c>
      <c r="C11" s="268">
        <v>21.33</v>
      </c>
      <c r="D11" s="34"/>
      <c r="E11" s="268">
        <v>2987.47</v>
      </c>
      <c r="F11" s="268">
        <f t="shared" si="0"/>
        <v>63722.735099999991</v>
      </c>
      <c r="G11" s="112"/>
    </row>
    <row r="12" spans="1:10" ht="71.25" customHeight="1">
      <c r="A12" s="271" t="s">
        <v>264</v>
      </c>
      <c r="B12" s="272" t="s">
        <v>265</v>
      </c>
      <c r="C12" s="268">
        <v>124.99</v>
      </c>
      <c r="D12" s="34"/>
      <c r="E12" s="268">
        <v>313.3</v>
      </c>
      <c r="F12" s="268">
        <f t="shared" si="0"/>
        <v>39159.366999999998</v>
      </c>
      <c r="G12" s="112"/>
    </row>
    <row r="13" spans="1:10" ht="99.75" customHeight="1">
      <c r="A13" s="265" t="s">
        <v>266</v>
      </c>
      <c r="B13" s="265" t="s">
        <v>267</v>
      </c>
      <c r="C13" s="268">
        <v>11.1</v>
      </c>
      <c r="D13" s="34"/>
      <c r="E13" s="268">
        <v>6308.87</v>
      </c>
      <c r="F13" s="268">
        <f t="shared" si="0"/>
        <v>70028.456999999995</v>
      </c>
      <c r="G13" s="112"/>
    </row>
    <row r="14" spans="1:10" ht="42" customHeight="1">
      <c r="A14" s="43" t="s">
        <v>268</v>
      </c>
      <c r="B14" s="273" t="s">
        <v>269</v>
      </c>
      <c r="C14" s="268"/>
      <c r="D14" s="34"/>
      <c r="E14" s="274"/>
      <c r="F14" s="268">
        <f t="shared" si="0"/>
        <v>0</v>
      </c>
      <c r="G14" s="112"/>
    </row>
    <row r="15" spans="1:10" ht="36.75" customHeight="1">
      <c r="A15" s="43" t="s">
        <v>270</v>
      </c>
      <c r="B15" s="273" t="s">
        <v>271</v>
      </c>
      <c r="C15" s="268">
        <v>47.1</v>
      </c>
      <c r="D15" s="34"/>
      <c r="E15" s="264">
        <v>194.5</v>
      </c>
      <c r="F15" s="268">
        <f t="shared" si="0"/>
        <v>9160.9500000000007</v>
      </c>
      <c r="G15" s="112"/>
    </row>
    <row r="16" spans="1:10" ht="105" customHeight="1">
      <c r="A16" s="43" t="s">
        <v>272</v>
      </c>
      <c r="B16" s="273" t="s">
        <v>273</v>
      </c>
      <c r="C16" s="275">
        <v>0.64700000000000002</v>
      </c>
      <c r="D16" s="34"/>
      <c r="E16" s="268">
        <v>82096.539999999994</v>
      </c>
      <c r="F16" s="268">
        <f t="shared" si="0"/>
        <v>53116.461380000001</v>
      </c>
      <c r="G16" s="112"/>
    </row>
    <row r="17" spans="1:7" ht="110.25">
      <c r="A17" s="43"/>
      <c r="B17" s="273" t="s">
        <v>274</v>
      </c>
      <c r="C17" s="268">
        <v>0.43</v>
      </c>
      <c r="D17" s="34" t="s">
        <v>275</v>
      </c>
      <c r="E17" s="268">
        <v>83314.02</v>
      </c>
      <c r="F17" s="268">
        <f t="shared" si="0"/>
        <v>35825.028599999998</v>
      </c>
      <c r="G17" s="112"/>
    </row>
    <row r="18" spans="1:7" ht="15.75">
      <c r="A18" s="30">
        <v>10</v>
      </c>
      <c r="B18" s="276" t="s">
        <v>13</v>
      </c>
      <c r="C18" s="277"/>
      <c r="D18" s="204"/>
      <c r="E18" s="277"/>
      <c r="F18" s="277"/>
    </row>
    <row r="19" spans="1:7" ht="15.75">
      <c r="A19" s="43"/>
      <c r="B19" s="31" t="s">
        <v>36</v>
      </c>
      <c r="C19" s="278">
        <v>20.440000000000001</v>
      </c>
      <c r="D19" s="204" t="s">
        <v>8</v>
      </c>
      <c r="E19" s="268">
        <v>744.66</v>
      </c>
      <c r="F19" s="277">
        <f t="shared" si="0"/>
        <v>15220.850400000001</v>
      </c>
    </row>
    <row r="20" spans="1:7" ht="15.75">
      <c r="A20" s="43"/>
      <c r="B20" s="31" t="s">
        <v>222</v>
      </c>
      <c r="C20" s="278">
        <v>5.38</v>
      </c>
      <c r="D20" s="204" t="s">
        <v>8</v>
      </c>
      <c r="E20" s="268">
        <v>387.54</v>
      </c>
      <c r="F20" s="277">
        <f t="shared" si="0"/>
        <v>2084.9652000000001</v>
      </c>
    </row>
    <row r="21" spans="1:7" ht="15.75">
      <c r="A21" s="43"/>
      <c r="B21" s="34" t="s">
        <v>223</v>
      </c>
      <c r="C21" s="278">
        <v>16.559999999999999</v>
      </c>
      <c r="D21" s="204" t="s">
        <v>8</v>
      </c>
      <c r="E21" s="268">
        <v>342.9</v>
      </c>
      <c r="F21" s="277">
        <f t="shared" si="0"/>
        <v>5678.4239999999991</v>
      </c>
    </row>
    <row r="22" spans="1:7" ht="15.75">
      <c r="A22" s="43"/>
      <c r="B22" s="34" t="s">
        <v>204</v>
      </c>
      <c r="C22" s="279">
        <v>30.29</v>
      </c>
      <c r="D22" s="204" t="s">
        <v>8</v>
      </c>
      <c r="E22" s="268">
        <v>570.94000000000005</v>
      </c>
      <c r="F22" s="277">
        <f t="shared" si="0"/>
        <v>17293.7726</v>
      </c>
    </row>
    <row r="23" spans="1:7" ht="15.75">
      <c r="A23" s="43"/>
      <c r="B23" s="266" t="s">
        <v>205</v>
      </c>
      <c r="C23" s="278">
        <v>57.46</v>
      </c>
      <c r="D23" s="204" t="s">
        <v>8</v>
      </c>
      <c r="E23" s="280">
        <v>117.54</v>
      </c>
      <c r="F23" s="277">
        <f t="shared" si="0"/>
        <v>6753.8484000000008</v>
      </c>
    </row>
    <row r="24" spans="1:7" ht="18.75">
      <c r="A24" s="43"/>
      <c r="B24" s="43"/>
      <c r="C24" s="449" t="s">
        <v>52</v>
      </c>
      <c r="D24" s="449"/>
      <c r="E24" s="450"/>
      <c r="F24" s="281">
        <f>SUM(F6:F23)</f>
        <v>382452.30728000001</v>
      </c>
    </row>
    <row r="25" spans="1:7" ht="18.75">
      <c r="A25" s="43"/>
      <c r="B25" s="43"/>
      <c r="C25" s="449" t="s">
        <v>276</v>
      </c>
      <c r="D25" s="449"/>
      <c r="E25" s="450"/>
      <c r="F25" s="281">
        <f>F24*18%</f>
        <v>68841.4153104</v>
      </c>
    </row>
    <row r="26" spans="1:7" ht="18.75">
      <c r="A26" s="43"/>
      <c r="B26" s="43"/>
      <c r="C26" s="282"/>
      <c r="D26" s="282"/>
      <c r="E26" s="283" t="s">
        <v>52</v>
      </c>
      <c r="F26" s="281">
        <f>F24+F25</f>
        <v>451293.72259040002</v>
      </c>
    </row>
    <row r="27" spans="1:7" ht="18.75">
      <c r="A27" s="43"/>
      <c r="B27" s="43"/>
      <c r="C27" s="449" t="s">
        <v>277</v>
      </c>
      <c r="D27" s="449"/>
      <c r="E27" s="450"/>
      <c r="F27" s="281">
        <f>PRODUCT(F26,0.01)</f>
        <v>4512.9372259040001</v>
      </c>
    </row>
    <row r="28" spans="1:7" ht="18.75">
      <c r="A28" s="43"/>
      <c r="B28" s="43"/>
      <c r="C28" s="449" t="s">
        <v>52</v>
      </c>
      <c r="D28" s="449"/>
      <c r="E28" s="450"/>
      <c r="F28" s="281">
        <f>F26+F27</f>
        <v>455806.65981630405</v>
      </c>
    </row>
    <row r="29" spans="1:7">
      <c r="A29" s="451"/>
      <c r="B29" s="452"/>
      <c r="C29" s="452"/>
      <c r="D29" s="452"/>
      <c r="E29" s="452"/>
      <c r="F29" s="453"/>
    </row>
    <row r="30" spans="1:7">
      <c r="A30" s="454"/>
      <c r="B30" s="455"/>
      <c r="C30" s="455"/>
      <c r="D30" s="455"/>
      <c r="E30" s="455"/>
      <c r="F30" s="456"/>
    </row>
    <row r="31" spans="1:7">
      <c r="A31" s="454"/>
      <c r="B31" s="455"/>
      <c r="C31" s="455"/>
      <c r="D31" s="455"/>
      <c r="E31" s="455"/>
      <c r="F31" s="456"/>
    </row>
    <row r="32" spans="1:7">
      <c r="A32" s="457"/>
      <c r="B32" s="458"/>
      <c r="C32" s="458"/>
      <c r="D32" s="458"/>
      <c r="E32" s="458"/>
      <c r="F32" s="459"/>
    </row>
    <row r="33" spans="1:6" ht="21">
      <c r="A33" s="244"/>
      <c r="B33" s="284"/>
      <c r="C33" s="285"/>
      <c r="D33" s="285"/>
      <c r="E33" s="285"/>
      <c r="F33" s="284"/>
    </row>
    <row r="34" spans="1:6">
      <c r="C34" s="245"/>
      <c r="D34" s="245"/>
      <c r="E34" s="245"/>
      <c r="F34" s="245"/>
    </row>
    <row r="35" spans="1:6">
      <c r="C35" s="245"/>
      <c r="D35" s="245"/>
      <c r="E35" s="245"/>
      <c r="F35" s="245"/>
    </row>
    <row r="36" spans="1:6">
      <c r="C36" s="245"/>
      <c r="D36" s="245"/>
      <c r="E36" s="245"/>
      <c r="F36" s="245"/>
    </row>
    <row r="37" spans="1:6">
      <c r="C37" s="245"/>
      <c r="D37" s="245"/>
      <c r="E37" s="245"/>
      <c r="F37" s="245"/>
    </row>
    <row r="38" spans="1:6">
      <c r="C38" s="245"/>
      <c r="D38" s="245"/>
      <c r="E38" s="245"/>
      <c r="F38" s="245"/>
    </row>
    <row r="39" spans="1:6">
      <c r="C39" s="245"/>
      <c r="D39" s="245"/>
      <c r="E39" s="245"/>
      <c r="F39" s="245"/>
    </row>
    <row r="40" spans="1:6">
      <c r="C40" s="245"/>
      <c r="D40" s="245"/>
      <c r="E40" s="245"/>
      <c r="F40" s="245"/>
    </row>
    <row r="41" spans="1:6">
      <c r="C41" s="245"/>
      <c r="D41" s="245"/>
      <c r="E41" s="245"/>
      <c r="F41" s="245"/>
    </row>
    <row r="42" spans="1:6">
      <c r="C42" s="245"/>
      <c r="D42" s="245"/>
      <c r="E42" s="245"/>
      <c r="F42" s="245"/>
    </row>
    <row r="43" spans="1:6">
      <c r="C43" s="245"/>
      <c r="D43" s="245"/>
      <c r="E43" s="245"/>
      <c r="F43" s="245"/>
    </row>
    <row r="44" spans="1:6">
      <c r="C44" s="245"/>
      <c r="D44" s="245"/>
      <c r="E44" s="245"/>
      <c r="F44" s="245"/>
    </row>
    <row r="45" spans="1:6">
      <c r="C45" s="245"/>
      <c r="D45" s="245"/>
      <c r="E45" s="245"/>
      <c r="F45" s="245"/>
    </row>
    <row r="46" spans="1:6">
      <c r="C46" s="245"/>
      <c r="D46" s="245"/>
      <c r="E46" s="245"/>
      <c r="F46" s="245"/>
    </row>
    <row r="47" spans="1:6">
      <c r="C47" s="245"/>
      <c r="D47" s="245"/>
      <c r="E47" s="245"/>
      <c r="F47" s="245"/>
    </row>
    <row r="48" spans="1: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row r="53" spans="3:6">
      <c r="C53" s="245"/>
      <c r="D53" s="245"/>
      <c r="E53" s="245"/>
      <c r="F53" s="245"/>
    </row>
    <row r="54" spans="3:6">
      <c r="C54" s="245"/>
      <c r="D54" s="245"/>
      <c r="E54" s="245"/>
      <c r="F54" s="245"/>
    </row>
    <row r="55" spans="3:6">
      <c r="C55" s="245"/>
      <c r="D55" s="245"/>
      <c r="E55" s="245"/>
      <c r="F55" s="245"/>
    </row>
    <row r="56" spans="3:6">
      <c r="C56" s="245"/>
      <c r="D56" s="245"/>
      <c r="E56" s="245"/>
      <c r="F56" s="245"/>
    </row>
    <row r="57" spans="3:6">
      <c r="C57" s="245"/>
      <c r="D57" s="245"/>
      <c r="E57" s="245"/>
      <c r="F57" s="245"/>
    </row>
    <row r="58" spans="3:6">
      <c r="C58" s="245"/>
      <c r="D58" s="245"/>
      <c r="E58" s="245"/>
      <c r="F58" s="245"/>
    </row>
    <row r="59" spans="3:6">
      <c r="C59" s="245"/>
      <c r="D59" s="245"/>
      <c r="E59" s="245"/>
      <c r="F59" s="245"/>
    </row>
    <row r="60" spans="3:6">
      <c r="C60" s="245"/>
      <c r="D60" s="245"/>
      <c r="E60" s="245"/>
      <c r="F60" s="245"/>
    </row>
    <row r="61" spans="3:6">
      <c r="C61" s="245"/>
      <c r="D61" s="245"/>
      <c r="E61" s="245"/>
      <c r="F61" s="245"/>
    </row>
    <row r="62" spans="3:6">
      <c r="C62" s="245"/>
      <c r="D62" s="245"/>
      <c r="E62" s="245"/>
      <c r="F62" s="245"/>
    </row>
    <row r="63" spans="3:6">
      <c r="C63" s="245"/>
      <c r="D63" s="245"/>
      <c r="E63" s="245"/>
      <c r="F63" s="245"/>
    </row>
    <row r="64" spans="3:6">
      <c r="C64" s="245"/>
      <c r="D64" s="245"/>
      <c r="E64" s="245"/>
      <c r="F64" s="245"/>
    </row>
  </sheetData>
  <mergeCells count="8">
    <mergeCell ref="C28:E28"/>
    <mergeCell ref="A29:F32"/>
    <mergeCell ref="A2:F2"/>
    <mergeCell ref="A3:F3"/>
    <mergeCell ref="A4:F4"/>
    <mergeCell ref="C24:E24"/>
    <mergeCell ref="C25:E25"/>
    <mergeCell ref="C27:E27"/>
  </mergeCell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239</v>
      </c>
      <c r="B3" s="438"/>
      <c r="C3" s="438"/>
      <c r="D3" s="438"/>
      <c r="E3" s="438"/>
      <c r="F3" s="438"/>
    </row>
    <row r="4" spans="1:6" ht="30">
      <c r="A4" s="84" t="s">
        <v>85</v>
      </c>
      <c r="B4" s="85" t="s">
        <v>3</v>
      </c>
      <c r="C4" s="232" t="s">
        <v>4</v>
      </c>
      <c r="D4" s="85" t="s">
        <v>5</v>
      </c>
      <c r="E4" s="233" t="s">
        <v>211</v>
      </c>
      <c r="F4" s="234" t="s">
        <v>212</v>
      </c>
    </row>
    <row r="5" spans="1:6" ht="87" customHeight="1">
      <c r="A5" s="84" t="s">
        <v>213</v>
      </c>
      <c r="B5" s="235" t="s">
        <v>214</v>
      </c>
      <c r="C5" s="93">
        <v>18.97</v>
      </c>
      <c r="D5" s="80" t="s">
        <v>8</v>
      </c>
      <c r="E5" s="80">
        <v>167.33</v>
      </c>
      <c r="F5" s="80">
        <f>C5*E5</f>
        <v>3174.2501000000002</v>
      </c>
    </row>
    <row r="6" spans="1:6" ht="105.75" customHeight="1">
      <c r="A6" s="84" t="s">
        <v>215</v>
      </c>
      <c r="B6" s="236" t="s">
        <v>216</v>
      </c>
      <c r="C6" s="80">
        <f>1.13+2.27</f>
        <v>3.4</v>
      </c>
      <c r="D6" s="80" t="s">
        <v>8</v>
      </c>
      <c r="E6" s="80">
        <v>589.51</v>
      </c>
      <c r="F6" s="80">
        <f t="shared" ref="F6:F9" si="0">PRODUCT(C6,E6)</f>
        <v>2004.3339999999998</v>
      </c>
    </row>
    <row r="7" spans="1:6" ht="90">
      <c r="A7" s="84" t="s">
        <v>217</v>
      </c>
      <c r="B7" s="237" t="s">
        <v>183</v>
      </c>
      <c r="C7" s="80">
        <f>5.9+11.8</f>
        <v>17.700000000000003</v>
      </c>
      <c r="D7" s="80" t="s">
        <v>8</v>
      </c>
      <c r="E7" s="80">
        <v>1756.4</v>
      </c>
      <c r="F7" s="80">
        <f t="shared" si="0"/>
        <v>31088.280000000006</v>
      </c>
    </row>
    <row r="8" spans="1:6" ht="60">
      <c r="A8" s="238" t="s">
        <v>218</v>
      </c>
      <c r="B8" s="239" t="s">
        <v>219</v>
      </c>
      <c r="C8" s="80">
        <f>46.47+25.56</f>
        <v>72.03</v>
      </c>
      <c r="D8" s="80" t="s">
        <v>70</v>
      </c>
      <c r="E8" s="85">
        <v>194.5</v>
      </c>
      <c r="F8" s="80">
        <f t="shared" si="0"/>
        <v>14009.835000000001</v>
      </c>
    </row>
    <row r="9" spans="1:6" ht="90">
      <c r="A9" s="233" t="s">
        <v>220</v>
      </c>
      <c r="B9" s="233" t="s">
        <v>221</v>
      </c>
      <c r="C9" s="93">
        <f>70.801+38.941</f>
        <v>109.742</v>
      </c>
      <c r="D9" s="80" t="s">
        <v>44</v>
      </c>
      <c r="E9" s="80">
        <v>4961.7299999999996</v>
      </c>
      <c r="F9" s="80">
        <f t="shared" si="0"/>
        <v>544510.17365999997</v>
      </c>
    </row>
    <row r="10" spans="1:6">
      <c r="A10" s="84">
        <v>6</v>
      </c>
      <c r="B10" s="240" t="s">
        <v>13</v>
      </c>
      <c r="C10" s="241"/>
      <c r="D10" s="164"/>
      <c r="E10" s="242"/>
      <c r="F10" s="241"/>
    </row>
    <row r="11" spans="1:6">
      <c r="A11" s="238"/>
      <c r="B11" s="85" t="s">
        <v>36</v>
      </c>
      <c r="C11" s="164">
        <f>30.44+16.74</f>
        <v>47.18</v>
      </c>
      <c r="D11" s="164" t="s">
        <v>8</v>
      </c>
      <c r="E11" s="80">
        <v>744.66</v>
      </c>
      <c r="F11" s="164">
        <f t="shared" ref="F11:F15" si="1">PRODUCT(C11:E11)</f>
        <v>35133.058799999999</v>
      </c>
    </row>
    <row r="12" spans="1:6">
      <c r="A12" s="238"/>
      <c r="B12" s="85" t="s">
        <v>222</v>
      </c>
      <c r="C12" s="164">
        <f>1.13+2.27</f>
        <v>3.4</v>
      </c>
      <c r="D12" s="164" t="s">
        <v>8</v>
      </c>
      <c r="E12" s="80">
        <v>387.54</v>
      </c>
      <c r="F12" s="164">
        <f t="shared" si="1"/>
        <v>1317.636</v>
      </c>
    </row>
    <row r="13" spans="1:6">
      <c r="A13" s="238"/>
      <c r="B13" s="80" t="s">
        <v>223</v>
      </c>
      <c r="C13" s="164">
        <f>60.89+33.49</f>
        <v>94.38</v>
      </c>
      <c r="D13" s="164" t="s">
        <v>8</v>
      </c>
      <c r="E13" s="80">
        <v>342.9</v>
      </c>
      <c r="F13" s="164">
        <f t="shared" si="1"/>
        <v>32362.901999999995</v>
      </c>
    </row>
    <row r="14" spans="1:6">
      <c r="A14" s="238"/>
      <c r="B14" s="80" t="s">
        <v>204</v>
      </c>
      <c r="C14" s="243">
        <f>5.9+11.8</f>
        <v>17.700000000000003</v>
      </c>
      <c r="D14" s="164" t="s">
        <v>8</v>
      </c>
      <c r="E14" s="80">
        <v>570.94000000000005</v>
      </c>
      <c r="F14" s="164">
        <f t="shared" si="1"/>
        <v>10105.638000000003</v>
      </c>
    </row>
    <row r="15" spans="1:6">
      <c r="A15" s="238"/>
      <c r="B15" s="234" t="s">
        <v>205</v>
      </c>
      <c r="C15" s="164">
        <v>18.97</v>
      </c>
      <c r="D15" s="164" t="s">
        <v>8</v>
      </c>
      <c r="E15" s="234">
        <v>117.54</v>
      </c>
      <c r="F15" s="164">
        <f t="shared" si="1"/>
        <v>2229.7338</v>
      </c>
    </row>
    <row r="16" spans="1:6">
      <c r="A16" s="238"/>
      <c r="B16" s="238"/>
      <c r="C16" s="433" t="s">
        <v>52</v>
      </c>
      <c r="D16" s="433"/>
      <c r="E16" s="434"/>
      <c r="F16" s="80">
        <f>SUM(F5:F15)</f>
        <v>675935.84136000008</v>
      </c>
    </row>
    <row r="17" spans="1:6">
      <c r="A17" s="238"/>
      <c r="B17" s="238"/>
      <c r="C17" s="433" t="s">
        <v>224</v>
      </c>
      <c r="D17" s="433"/>
      <c r="E17" s="434"/>
      <c r="F17" s="80">
        <f>F16*18%</f>
        <v>121668.45144480001</v>
      </c>
    </row>
    <row r="18" spans="1:6">
      <c r="A18" s="238"/>
      <c r="B18" s="238"/>
      <c r="C18" s="162"/>
      <c r="D18" s="162"/>
      <c r="E18" s="163" t="s">
        <v>52</v>
      </c>
      <c r="F18" s="80">
        <f>F16+F17</f>
        <v>797604.29280480009</v>
      </c>
    </row>
    <row r="19" spans="1:6">
      <c r="A19" s="238"/>
      <c r="B19" s="238"/>
      <c r="C19" s="433" t="s">
        <v>225</v>
      </c>
      <c r="D19" s="433"/>
      <c r="E19" s="434"/>
      <c r="F19" s="80">
        <f>PRODUCT(F18,0.01)</f>
        <v>7976.0429280480012</v>
      </c>
    </row>
    <row r="20" spans="1:6">
      <c r="A20" s="238"/>
      <c r="B20" s="238"/>
      <c r="C20" s="433" t="s">
        <v>52</v>
      </c>
      <c r="D20" s="433"/>
      <c r="E20" s="434"/>
      <c r="F20" s="80">
        <f>F18+F19</f>
        <v>805580.33573284803</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240</v>
      </c>
      <c r="B3" s="438"/>
      <c r="C3" s="438"/>
      <c r="D3" s="438"/>
      <c r="E3" s="438"/>
      <c r="F3" s="438"/>
    </row>
    <row r="4" spans="1:6" ht="30">
      <c r="A4" s="84" t="s">
        <v>85</v>
      </c>
      <c r="B4" s="85" t="s">
        <v>3</v>
      </c>
      <c r="C4" s="232" t="s">
        <v>4</v>
      </c>
      <c r="D4" s="85" t="s">
        <v>5</v>
      </c>
      <c r="E4" s="233" t="s">
        <v>211</v>
      </c>
      <c r="F4" s="234" t="s">
        <v>212</v>
      </c>
    </row>
    <row r="5" spans="1:6" ht="87" customHeight="1">
      <c r="A5" s="84" t="s">
        <v>213</v>
      </c>
      <c r="B5" s="235" t="s">
        <v>214</v>
      </c>
      <c r="C5" s="93">
        <v>22.77</v>
      </c>
      <c r="D5" s="80" t="s">
        <v>8</v>
      </c>
      <c r="E5" s="80">
        <v>167.33</v>
      </c>
      <c r="F5" s="80">
        <f>C5*E5</f>
        <v>3810.1041</v>
      </c>
    </row>
    <row r="6" spans="1:6" ht="105.75" customHeight="1">
      <c r="A6" s="84" t="s">
        <v>215</v>
      </c>
      <c r="B6" s="236" t="s">
        <v>216</v>
      </c>
      <c r="C6" s="80">
        <v>2.72</v>
      </c>
      <c r="D6" s="80" t="s">
        <v>8</v>
      </c>
      <c r="E6" s="80">
        <v>589.51</v>
      </c>
      <c r="F6" s="80">
        <f t="shared" ref="F6:F9" si="0">PRODUCT(C6,E6)</f>
        <v>1603.4672</v>
      </c>
    </row>
    <row r="7" spans="1:6" ht="90">
      <c r="A7" s="84" t="s">
        <v>217</v>
      </c>
      <c r="B7" s="237" t="s">
        <v>183</v>
      </c>
      <c r="C7" s="80">
        <v>14.16</v>
      </c>
      <c r="D7" s="80" t="s">
        <v>8</v>
      </c>
      <c r="E7" s="80">
        <v>1756.4</v>
      </c>
      <c r="F7" s="80">
        <f t="shared" si="0"/>
        <v>24870.624</v>
      </c>
    </row>
    <row r="8" spans="1:6" ht="60">
      <c r="A8" s="238" t="s">
        <v>218</v>
      </c>
      <c r="B8" s="239" t="s">
        <v>219</v>
      </c>
      <c r="C8" s="80">
        <f>11.15+30.67</f>
        <v>41.82</v>
      </c>
      <c r="D8" s="80" t="s">
        <v>70</v>
      </c>
      <c r="E8" s="85">
        <v>194.5</v>
      </c>
      <c r="F8" s="80">
        <f t="shared" si="0"/>
        <v>8133.99</v>
      </c>
    </row>
    <row r="9" spans="1:6" ht="90">
      <c r="A9" s="233" t="s">
        <v>220</v>
      </c>
      <c r="B9" s="233" t="s">
        <v>221</v>
      </c>
      <c r="C9" s="93">
        <f>16.992+50.35</f>
        <v>67.341999999999999</v>
      </c>
      <c r="D9" s="80" t="s">
        <v>44</v>
      </c>
      <c r="E9" s="80">
        <v>4961.7299999999996</v>
      </c>
      <c r="F9" s="80">
        <f t="shared" si="0"/>
        <v>334132.82165999996</v>
      </c>
    </row>
    <row r="10" spans="1:6">
      <c r="A10" s="84">
        <v>6</v>
      </c>
      <c r="B10" s="240" t="s">
        <v>13</v>
      </c>
      <c r="C10" s="241"/>
      <c r="D10" s="164"/>
      <c r="E10" s="242"/>
      <c r="F10" s="241"/>
    </row>
    <row r="11" spans="1:6">
      <c r="A11" s="238"/>
      <c r="B11" s="85" t="s">
        <v>36</v>
      </c>
      <c r="C11" s="164">
        <f>7.31+21.65</f>
        <v>28.959999999999997</v>
      </c>
      <c r="D11" s="164" t="s">
        <v>8</v>
      </c>
      <c r="E11" s="80">
        <v>744.66</v>
      </c>
      <c r="F11" s="164">
        <f t="shared" ref="F11:F15" si="1">PRODUCT(C11:E11)</f>
        <v>21565.353599999999</v>
      </c>
    </row>
    <row r="12" spans="1:6">
      <c r="A12" s="238"/>
      <c r="B12" s="85" t="s">
        <v>222</v>
      </c>
      <c r="C12" s="164">
        <v>2.72</v>
      </c>
      <c r="D12" s="164" t="s">
        <v>8</v>
      </c>
      <c r="E12" s="80">
        <v>387.54</v>
      </c>
      <c r="F12" s="164">
        <f t="shared" si="1"/>
        <v>1054.1088000000002</v>
      </c>
    </row>
    <row r="13" spans="1:6">
      <c r="A13" s="238"/>
      <c r="B13" s="80" t="s">
        <v>223</v>
      </c>
      <c r="C13" s="164">
        <f>14.61+43.3</f>
        <v>57.91</v>
      </c>
      <c r="D13" s="164" t="s">
        <v>8</v>
      </c>
      <c r="E13" s="80">
        <v>342.9</v>
      </c>
      <c r="F13" s="164">
        <f t="shared" si="1"/>
        <v>19857.338999999996</v>
      </c>
    </row>
    <row r="14" spans="1:6">
      <c r="A14" s="238"/>
      <c r="B14" s="80" t="s">
        <v>204</v>
      </c>
      <c r="C14" s="243">
        <v>14.16</v>
      </c>
      <c r="D14" s="164" t="s">
        <v>8</v>
      </c>
      <c r="E14" s="80">
        <v>570.94000000000005</v>
      </c>
      <c r="F14" s="164">
        <f t="shared" si="1"/>
        <v>8084.510400000001</v>
      </c>
    </row>
    <row r="15" spans="1:6">
      <c r="A15" s="238"/>
      <c r="B15" s="234" t="s">
        <v>205</v>
      </c>
      <c r="C15" s="164">
        <v>22.77</v>
      </c>
      <c r="D15" s="164" t="s">
        <v>8</v>
      </c>
      <c r="E15" s="234">
        <v>117.54</v>
      </c>
      <c r="F15" s="164">
        <f t="shared" si="1"/>
        <v>2676.3858</v>
      </c>
    </row>
    <row r="16" spans="1:6">
      <c r="A16" s="238"/>
      <c r="B16" s="238"/>
      <c r="C16" s="433" t="s">
        <v>52</v>
      </c>
      <c r="D16" s="433"/>
      <c r="E16" s="434"/>
      <c r="F16" s="80">
        <f>SUM(F5:F15)</f>
        <v>425788.70455999993</v>
      </c>
    </row>
    <row r="17" spans="1:6">
      <c r="A17" s="238"/>
      <c r="B17" s="238"/>
      <c r="C17" s="433" t="s">
        <v>224</v>
      </c>
      <c r="D17" s="433"/>
      <c r="E17" s="434"/>
      <c r="F17" s="80">
        <f>F16*18%</f>
        <v>76641.966820799978</v>
      </c>
    </row>
    <row r="18" spans="1:6">
      <c r="A18" s="238"/>
      <c r="B18" s="238"/>
      <c r="C18" s="162"/>
      <c r="D18" s="162"/>
      <c r="E18" s="163" t="s">
        <v>52</v>
      </c>
      <c r="F18" s="80">
        <f>F16+F17</f>
        <v>502430.6713807999</v>
      </c>
    </row>
    <row r="19" spans="1:6">
      <c r="A19" s="238"/>
      <c r="B19" s="238"/>
      <c r="C19" s="433" t="s">
        <v>225</v>
      </c>
      <c r="D19" s="433"/>
      <c r="E19" s="434"/>
      <c r="F19" s="80">
        <f>PRODUCT(F18,0.01)</f>
        <v>5024.3067138079996</v>
      </c>
    </row>
    <row r="20" spans="1:6">
      <c r="A20" s="238"/>
      <c r="B20" s="238"/>
      <c r="C20" s="433" t="s">
        <v>52</v>
      </c>
      <c r="D20" s="433"/>
      <c r="E20" s="434"/>
      <c r="F20" s="80">
        <f>F18+F19</f>
        <v>507454.97809460788</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241</v>
      </c>
      <c r="B3" s="438"/>
      <c r="C3" s="438"/>
      <c r="D3" s="438"/>
      <c r="E3" s="438"/>
      <c r="F3" s="438"/>
    </row>
    <row r="4" spans="1:6" ht="30">
      <c r="A4" s="84" t="s">
        <v>85</v>
      </c>
      <c r="B4" s="85" t="s">
        <v>3</v>
      </c>
      <c r="C4" s="232" t="s">
        <v>4</v>
      </c>
      <c r="D4" s="85" t="s">
        <v>5</v>
      </c>
      <c r="E4" s="233" t="s">
        <v>211</v>
      </c>
      <c r="F4" s="234" t="s">
        <v>212</v>
      </c>
    </row>
    <row r="5" spans="1:6" ht="87" customHeight="1">
      <c r="A5" s="84" t="s">
        <v>213</v>
      </c>
      <c r="B5" s="235" t="s">
        <v>214</v>
      </c>
      <c r="C5" s="93">
        <f>37.94</f>
        <v>37.94</v>
      </c>
      <c r="D5" s="80" t="s">
        <v>8</v>
      </c>
      <c r="E5" s="80">
        <v>167.33</v>
      </c>
      <c r="F5" s="80">
        <f>C5*E5</f>
        <v>6348.5002000000004</v>
      </c>
    </row>
    <row r="6" spans="1:6" ht="105.75" customHeight="1">
      <c r="A6" s="84" t="s">
        <v>215</v>
      </c>
      <c r="B6" s="236" t="s">
        <v>216</v>
      </c>
      <c r="C6" s="80">
        <v>4.53</v>
      </c>
      <c r="D6" s="80" t="s">
        <v>8</v>
      </c>
      <c r="E6" s="80">
        <v>589.51</v>
      </c>
      <c r="F6" s="80">
        <f t="shared" ref="F6:F9" si="0">PRODUCT(C6,E6)</f>
        <v>2670.4803000000002</v>
      </c>
    </row>
    <row r="7" spans="1:6" ht="90">
      <c r="A7" s="84" t="s">
        <v>217</v>
      </c>
      <c r="B7" s="237" t="s">
        <v>183</v>
      </c>
      <c r="C7" s="80">
        <v>23.6</v>
      </c>
      <c r="D7" s="80" t="s">
        <v>8</v>
      </c>
      <c r="E7" s="80">
        <v>1756.4</v>
      </c>
      <c r="F7" s="80">
        <f t="shared" si="0"/>
        <v>41451.040000000008</v>
      </c>
    </row>
    <row r="8" spans="1:6" ht="60">
      <c r="A8" s="238" t="s">
        <v>218</v>
      </c>
      <c r="B8" s="239" t="s">
        <v>219</v>
      </c>
      <c r="C8" s="80">
        <f>18.59+27.88</f>
        <v>46.47</v>
      </c>
      <c r="D8" s="80" t="s">
        <v>70</v>
      </c>
      <c r="E8" s="85">
        <v>194.5</v>
      </c>
      <c r="F8" s="80">
        <f t="shared" si="0"/>
        <v>9038.4149999999991</v>
      </c>
    </row>
    <row r="9" spans="1:6" ht="90">
      <c r="A9" s="233" t="s">
        <v>220</v>
      </c>
      <c r="B9" s="233" t="s">
        <v>221</v>
      </c>
      <c r="C9" s="93">
        <f>28.321+42.481</f>
        <v>70.802000000000007</v>
      </c>
      <c r="D9" s="80" t="s">
        <v>44</v>
      </c>
      <c r="E9" s="80">
        <v>4961.7299999999996</v>
      </c>
      <c r="F9" s="80">
        <f t="shared" si="0"/>
        <v>351300.40746000002</v>
      </c>
    </row>
    <row r="10" spans="1:6">
      <c r="A10" s="84">
        <v>6</v>
      </c>
      <c r="B10" s="240" t="s">
        <v>13</v>
      </c>
      <c r="C10" s="241"/>
      <c r="D10" s="164"/>
      <c r="E10" s="242"/>
      <c r="F10" s="241"/>
    </row>
    <row r="11" spans="1:6">
      <c r="A11" s="238"/>
      <c r="B11" s="85" t="s">
        <v>36</v>
      </c>
      <c r="C11" s="164">
        <f>12.18+18.27</f>
        <v>30.45</v>
      </c>
      <c r="D11" s="164" t="s">
        <v>8</v>
      </c>
      <c r="E11" s="80">
        <v>744.66</v>
      </c>
      <c r="F11" s="164">
        <f t="shared" ref="F11:F15" si="1">PRODUCT(C11:E11)</f>
        <v>22674.896999999997</v>
      </c>
    </row>
    <row r="12" spans="1:6">
      <c r="A12" s="238"/>
      <c r="B12" s="85" t="s">
        <v>222</v>
      </c>
      <c r="C12" s="164">
        <v>4.53</v>
      </c>
      <c r="D12" s="164" t="s">
        <v>8</v>
      </c>
      <c r="E12" s="80">
        <v>387.54</v>
      </c>
      <c r="F12" s="164">
        <f t="shared" si="1"/>
        <v>1755.5562000000002</v>
      </c>
    </row>
    <row r="13" spans="1:6">
      <c r="A13" s="238"/>
      <c r="B13" s="80" t="s">
        <v>223</v>
      </c>
      <c r="C13" s="258">
        <f>24.36+36.53</f>
        <v>60.89</v>
      </c>
      <c r="D13" s="164" t="s">
        <v>8</v>
      </c>
      <c r="E13" s="80">
        <v>342.9</v>
      </c>
      <c r="F13" s="164">
        <f t="shared" si="1"/>
        <v>20879.181</v>
      </c>
    </row>
    <row r="14" spans="1:6">
      <c r="A14" s="238"/>
      <c r="B14" s="80" t="s">
        <v>204</v>
      </c>
      <c r="C14" s="243">
        <v>23.6</v>
      </c>
      <c r="D14" s="164" t="s">
        <v>8</v>
      </c>
      <c r="E14" s="80">
        <v>570.94000000000005</v>
      </c>
      <c r="F14" s="164">
        <f t="shared" si="1"/>
        <v>13474.184000000003</v>
      </c>
    </row>
    <row r="15" spans="1:6">
      <c r="A15" s="238"/>
      <c r="B15" s="234" t="s">
        <v>205</v>
      </c>
      <c r="C15" s="164">
        <v>37.94</v>
      </c>
      <c r="D15" s="164" t="s">
        <v>8</v>
      </c>
      <c r="E15" s="234">
        <v>117.54</v>
      </c>
      <c r="F15" s="164">
        <f t="shared" si="1"/>
        <v>4459.4675999999999</v>
      </c>
    </row>
    <row r="16" spans="1:6">
      <c r="A16" s="238"/>
      <c r="B16" s="238"/>
      <c r="C16" s="433" t="s">
        <v>52</v>
      </c>
      <c r="D16" s="433"/>
      <c r="E16" s="434"/>
      <c r="F16" s="80">
        <f>SUM(F5:F15)</f>
        <v>474052.12875999999</v>
      </c>
    </row>
    <row r="17" spans="1:6">
      <c r="A17" s="238"/>
      <c r="B17" s="238"/>
      <c r="C17" s="433" t="s">
        <v>224</v>
      </c>
      <c r="D17" s="433"/>
      <c r="E17" s="434"/>
      <c r="F17" s="80">
        <f>F16*18%</f>
        <v>85329.383176799995</v>
      </c>
    </row>
    <row r="18" spans="1:6">
      <c r="A18" s="238"/>
      <c r="B18" s="238"/>
      <c r="C18" s="162"/>
      <c r="D18" s="162"/>
      <c r="E18" s="163" t="s">
        <v>52</v>
      </c>
      <c r="F18" s="80">
        <f>F16+F17</f>
        <v>559381.51193679997</v>
      </c>
    </row>
    <row r="19" spans="1:6">
      <c r="A19" s="238"/>
      <c r="B19" s="238"/>
      <c r="C19" s="433" t="s">
        <v>225</v>
      </c>
      <c r="D19" s="433"/>
      <c r="E19" s="434"/>
      <c r="F19" s="80">
        <f>PRODUCT(F18,0.01)</f>
        <v>5593.8151193679996</v>
      </c>
    </row>
    <row r="20" spans="1:6">
      <c r="A20" s="238"/>
      <c r="B20" s="238"/>
      <c r="C20" s="433" t="s">
        <v>52</v>
      </c>
      <c r="D20" s="433"/>
      <c r="E20" s="434"/>
      <c r="F20" s="80">
        <f>F18+F19</f>
        <v>564975.327056168</v>
      </c>
    </row>
    <row r="21" spans="1:6" ht="15.75">
      <c r="A21" s="244"/>
      <c r="B21" s="96"/>
      <c r="C21" s="96"/>
      <c r="D21" s="96"/>
      <c r="E21" s="96"/>
      <c r="F21" s="96"/>
    </row>
    <row r="22" spans="1:6" ht="15.75">
      <c r="A22" s="244"/>
      <c r="B22" s="96"/>
      <c r="C22" s="96"/>
      <c r="D22" s="96"/>
      <c r="E22" s="96"/>
      <c r="F22" s="96"/>
    </row>
    <row r="23" spans="1:6">
      <c r="C23" s="245"/>
      <c r="D23" s="245"/>
      <c r="E23" s="245"/>
      <c r="F23" s="245"/>
    </row>
    <row r="24" spans="1:6">
      <c r="C24" s="245"/>
      <c r="D24" s="245"/>
      <c r="E24" s="245"/>
      <c r="F24" s="245"/>
    </row>
    <row r="25" spans="1:6">
      <c r="C25" s="245"/>
      <c r="D25" s="245"/>
      <c r="E25" s="245"/>
      <c r="F25" s="245"/>
    </row>
    <row r="26" spans="1:6">
      <c r="C26" s="245"/>
      <c r="D26" s="245"/>
      <c r="E26" s="245"/>
      <c r="F26" s="245"/>
    </row>
    <row r="27" spans="1:6">
      <c r="C27" s="245"/>
      <c r="D27" s="245"/>
      <c r="E27" s="245"/>
      <c r="F27" s="245"/>
    </row>
    <row r="28" spans="1:6">
      <c r="C28" s="245"/>
      <c r="D28" s="245"/>
      <c r="E28" s="245"/>
      <c r="F28" s="245"/>
    </row>
    <row r="29" spans="1:6">
      <c r="C29" s="245"/>
      <c r="D29" s="245"/>
      <c r="E29" s="245"/>
      <c r="F29" s="245"/>
    </row>
    <row r="30" spans="1:6">
      <c r="C30" s="245"/>
      <c r="D30" s="245"/>
      <c r="E30" s="245"/>
      <c r="F30" s="245"/>
    </row>
    <row r="31" spans="1:6">
      <c r="C31" s="245"/>
      <c r="D31" s="245"/>
      <c r="E31" s="245"/>
      <c r="F31" s="245"/>
    </row>
    <row r="32" spans="1: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row r="47" spans="3:6">
      <c r="C47" s="245"/>
      <c r="D47" s="245"/>
      <c r="E47" s="245"/>
      <c r="F47" s="245"/>
    </row>
    <row r="48" spans="3:6">
      <c r="C48" s="245"/>
      <c r="D48" s="245"/>
      <c r="E48" s="245"/>
      <c r="F48" s="245"/>
    </row>
    <row r="49" spans="3:6">
      <c r="C49" s="245"/>
      <c r="D49" s="245"/>
      <c r="E49" s="245"/>
      <c r="F49" s="245"/>
    </row>
    <row r="50" spans="3:6">
      <c r="C50" s="245"/>
      <c r="D50" s="245"/>
      <c r="E50" s="245"/>
      <c r="F50" s="245"/>
    </row>
    <row r="51" spans="3:6">
      <c r="C51" s="245"/>
      <c r="D51" s="245"/>
      <c r="E51" s="245"/>
      <c r="F51" s="245"/>
    </row>
    <row r="52" spans="3:6">
      <c r="C52" s="245"/>
      <c r="D52" s="245"/>
      <c r="E52" s="245"/>
      <c r="F52" s="245"/>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F46"/>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435" t="s">
        <v>209</v>
      </c>
      <c r="B1" s="436"/>
      <c r="C1" s="436"/>
      <c r="D1" s="436"/>
      <c r="E1" s="436"/>
      <c r="F1" s="436"/>
    </row>
    <row r="2" spans="1:6">
      <c r="A2" s="437" t="s">
        <v>83</v>
      </c>
      <c r="B2" s="437"/>
      <c r="C2" s="437"/>
      <c r="D2" s="437"/>
      <c r="E2" s="437"/>
      <c r="F2" s="437"/>
    </row>
    <row r="3" spans="1:6" ht="45" customHeight="1">
      <c r="A3" s="438" t="s">
        <v>242</v>
      </c>
      <c r="B3" s="438"/>
      <c r="C3" s="438"/>
      <c r="D3" s="438"/>
      <c r="E3" s="438"/>
      <c r="F3" s="438"/>
    </row>
    <row r="4" spans="1:6" ht="30">
      <c r="A4" s="84" t="s">
        <v>85</v>
      </c>
      <c r="B4" s="85" t="s">
        <v>3</v>
      </c>
      <c r="C4" s="232" t="s">
        <v>4</v>
      </c>
      <c r="D4" s="85" t="s">
        <v>5</v>
      </c>
      <c r="E4" s="233" t="s">
        <v>211</v>
      </c>
      <c r="F4" s="234" t="s">
        <v>212</v>
      </c>
    </row>
    <row r="5" spans="1:6" ht="60">
      <c r="A5" s="238" t="s">
        <v>235</v>
      </c>
      <c r="B5" s="239" t="s">
        <v>219</v>
      </c>
      <c r="C5" s="80">
        <v>22.08</v>
      </c>
      <c r="D5" s="80" t="s">
        <v>70</v>
      </c>
      <c r="E5" s="85">
        <v>194.5</v>
      </c>
      <c r="F5" s="80">
        <f t="shared" ref="F5:F6" si="0">PRODUCT(C5,E5)</f>
        <v>4294.5599999999995</v>
      </c>
    </row>
    <row r="6" spans="1:6" ht="90">
      <c r="A6" s="233" t="s">
        <v>236</v>
      </c>
      <c r="B6" s="233" t="s">
        <v>221</v>
      </c>
      <c r="C6" s="93">
        <v>43.363999999999997</v>
      </c>
      <c r="D6" s="80" t="s">
        <v>44</v>
      </c>
      <c r="E6" s="80">
        <v>4961.7299999999996</v>
      </c>
      <c r="F6" s="80">
        <f t="shared" si="0"/>
        <v>215160.45971999996</v>
      </c>
    </row>
    <row r="7" spans="1:6">
      <c r="A7" s="84">
        <v>3</v>
      </c>
      <c r="B7" s="240" t="s">
        <v>13</v>
      </c>
      <c r="C7" s="241"/>
      <c r="D7" s="164"/>
      <c r="E7" s="242"/>
      <c r="F7" s="241"/>
    </row>
    <row r="8" spans="1:6">
      <c r="A8" s="238"/>
      <c r="B8" s="85" t="s">
        <v>36</v>
      </c>
      <c r="C8" s="164">
        <v>18.649999999999999</v>
      </c>
      <c r="D8" s="164" t="s">
        <v>8</v>
      </c>
      <c r="E8" s="80">
        <v>744.66</v>
      </c>
      <c r="F8" s="164">
        <f t="shared" ref="F8:F9" si="1">PRODUCT(C8:E8)</f>
        <v>13887.908999999998</v>
      </c>
    </row>
    <row r="9" spans="1:6">
      <c r="A9" s="238"/>
      <c r="B9" s="80" t="s">
        <v>223</v>
      </c>
      <c r="C9" s="164">
        <v>37.29</v>
      </c>
      <c r="D9" s="164" t="s">
        <v>8</v>
      </c>
      <c r="E9" s="80">
        <v>342.9</v>
      </c>
      <c r="F9" s="164">
        <f t="shared" si="1"/>
        <v>12786.740999999998</v>
      </c>
    </row>
    <row r="10" spans="1:6">
      <c r="A10" s="238"/>
      <c r="B10" s="238"/>
      <c r="C10" s="433" t="s">
        <v>52</v>
      </c>
      <c r="D10" s="433"/>
      <c r="E10" s="434"/>
      <c r="F10" s="80">
        <f>SUM(F5:F9)</f>
        <v>246129.66971999995</v>
      </c>
    </row>
    <row r="11" spans="1:6">
      <c r="A11" s="238"/>
      <c r="B11" s="238"/>
      <c r="C11" s="433" t="s">
        <v>224</v>
      </c>
      <c r="D11" s="433"/>
      <c r="E11" s="434"/>
      <c r="F11" s="80">
        <f>F10*18%</f>
        <v>44303.34054959999</v>
      </c>
    </row>
    <row r="12" spans="1:6">
      <c r="A12" s="238"/>
      <c r="B12" s="238"/>
      <c r="C12" s="162"/>
      <c r="D12" s="162"/>
      <c r="E12" s="163" t="s">
        <v>52</v>
      </c>
      <c r="F12" s="80">
        <f>F10+F11</f>
        <v>290433.01026959997</v>
      </c>
    </row>
    <row r="13" spans="1:6">
      <c r="A13" s="238"/>
      <c r="B13" s="238"/>
      <c r="C13" s="433" t="s">
        <v>225</v>
      </c>
      <c r="D13" s="433"/>
      <c r="E13" s="434"/>
      <c r="F13" s="80">
        <f>PRODUCT(F12,0.01)</f>
        <v>2904.3301026959998</v>
      </c>
    </row>
    <row r="14" spans="1:6">
      <c r="A14" s="238"/>
      <c r="B14" s="238"/>
      <c r="C14" s="433" t="s">
        <v>52</v>
      </c>
      <c r="D14" s="433"/>
      <c r="E14" s="434"/>
      <c r="F14" s="80">
        <f>F12+F13</f>
        <v>293337.34037229599</v>
      </c>
    </row>
    <row r="15" spans="1:6" ht="15.75">
      <c r="A15" s="244"/>
      <c r="B15" s="96"/>
      <c r="C15" s="96"/>
      <c r="D15" s="96"/>
      <c r="E15" s="96"/>
      <c r="F15" s="96"/>
    </row>
    <row r="16" spans="1:6" ht="15.75">
      <c r="A16" s="244"/>
      <c r="B16" s="96"/>
      <c r="C16" s="96"/>
      <c r="D16" s="96"/>
      <c r="E16" s="96"/>
      <c r="F16" s="96"/>
    </row>
    <row r="17" spans="3:6">
      <c r="C17" s="245"/>
      <c r="D17" s="245"/>
      <c r="E17" s="245"/>
      <c r="F17" s="245"/>
    </row>
    <row r="18" spans="3:6">
      <c r="C18" s="245"/>
      <c r="D18" s="245"/>
      <c r="E18" s="245"/>
      <c r="F18" s="245"/>
    </row>
    <row r="19" spans="3:6">
      <c r="C19" s="245"/>
      <c r="D19" s="245"/>
      <c r="E19" s="245"/>
      <c r="F19" s="245"/>
    </row>
    <row r="20" spans="3:6">
      <c r="C20" s="245"/>
      <c r="D20" s="245"/>
      <c r="E20" s="245"/>
      <c r="F20" s="245"/>
    </row>
    <row r="21" spans="3:6">
      <c r="C21" s="245"/>
      <c r="D21" s="245"/>
      <c r="E21" s="245"/>
      <c r="F21" s="245"/>
    </row>
    <row r="22" spans="3:6">
      <c r="C22" s="245"/>
      <c r="D22" s="245"/>
      <c r="E22" s="245"/>
      <c r="F22" s="245"/>
    </row>
    <row r="23" spans="3:6">
      <c r="C23" s="245"/>
      <c r="D23" s="245"/>
      <c r="E23" s="245"/>
      <c r="F23" s="245"/>
    </row>
    <row r="24" spans="3:6">
      <c r="C24" s="245"/>
      <c r="D24" s="245"/>
      <c r="E24" s="245"/>
      <c r="F24" s="245"/>
    </row>
    <row r="25" spans="3:6">
      <c r="C25" s="245"/>
      <c r="D25" s="245"/>
      <c r="E25" s="245"/>
      <c r="F25" s="245"/>
    </row>
    <row r="26" spans="3:6">
      <c r="C26" s="245"/>
      <c r="D26" s="245"/>
      <c r="E26" s="245"/>
      <c r="F26" s="245"/>
    </row>
    <row r="27" spans="3:6">
      <c r="C27" s="245"/>
      <c r="D27" s="245"/>
      <c r="E27" s="245"/>
      <c r="F27" s="245"/>
    </row>
    <row r="28" spans="3:6">
      <c r="C28" s="245"/>
      <c r="D28" s="245"/>
      <c r="E28" s="245"/>
      <c r="F28" s="245"/>
    </row>
    <row r="29" spans="3:6">
      <c r="C29" s="245"/>
      <c r="D29" s="245"/>
      <c r="E29" s="245"/>
      <c r="F29" s="245"/>
    </row>
    <row r="30" spans="3:6">
      <c r="C30" s="245"/>
      <c r="D30" s="245"/>
      <c r="E30" s="245"/>
      <c r="F30" s="245"/>
    </row>
    <row r="31" spans="3:6">
      <c r="C31" s="245"/>
      <c r="D31" s="245"/>
      <c r="E31" s="245"/>
      <c r="F31" s="245"/>
    </row>
    <row r="32" spans="3:6">
      <c r="C32" s="245"/>
      <c r="D32" s="245"/>
      <c r="E32" s="245"/>
      <c r="F32" s="245"/>
    </row>
    <row r="33" spans="3:6">
      <c r="C33" s="245"/>
      <c r="D33" s="245"/>
      <c r="E33" s="245"/>
      <c r="F33" s="245"/>
    </row>
    <row r="34" spans="3:6">
      <c r="C34" s="245"/>
      <c r="D34" s="245"/>
      <c r="E34" s="245"/>
      <c r="F34" s="245"/>
    </row>
    <row r="35" spans="3:6">
      <c r="C35" s="245"/>
      <c r="D35" s="245"/>
      <c r="E35" s="245"/>
      <c r="F35" s="245"/>
    </row>
    <row r="36" spans="3:6">
      <c r="C36" s="245"/>
      <c r="D36" s="245"/>
      <c r="E36" s="245"/>
      <c r="F36" s="245"/>
    </row>
    <row r="37" spans="3:6">
      <c r="C37" s="245"/>
      <c r="D37" s="245"/>
      <c r="E37" s="245"/>
      <c r="F37" s="245"/>
    </row>
    <row r="38" spans="3:6">
      <c r="C38" s="245"/>
      <c r="D38" s="245"/>
      <c r="E38" s="245"/>
      <c r="F38" s="245"/>
    </row>
    <row r="39" spans="3:6">
      <c r="C39" s="245"/>
      <c r="D39" s="245"/>
      <c r="E39" s="245"/>
      <c r="F39" s="245"/>
    </row>
    <row r="40" spans="3:6">
      <c r="C40" s="245"/>
      <c r="D40" s="245"/>
      <c r="E40" s="245"/>
      <c r="F40" s="245"/>
    </row>
    <row r="41" spans="3:6">
      <c r="C41" s="245"/>
      <c r="D41" s="245"/>
      <c r="E41" s="245"/>
      <c r="F41" s="245"/>
    </row>
    <row r="42" spans="3:6">
      <c r="C42" s="245"/>
      <c r="D42" s="245"/>
      <c r="E42" s="245"/>
      <c r="F42" s="245"/>
    </row>
    <row r="43" spans="3:6">
      <c r="C43" s="245"/>
      <c r="D43" s="245"/>
      <c r="E43" s="245"/>
      <c r="F43" s="245"/>
    </row>
    <row r="44" spans="3:6">
      <c r="C44" s="245"/>
      <c r="D44" s="245"/>
      <c r="E44" s="245"/>
      <c r="F44" s="245"/>
    </row>
    <row r="45" spans="3:6">
      <c r="C45" s="245"/>
      <c r="D45" s="245"/>
      <c r="E45" s="245"/>
      <c r="F45" s="245"/>
    </row>
    <row r="46" spans="3:6">
      <c r="C46" s="245"/>
      <c r="D46" s="245"/>
      <c r="E46" s="245"/>
      <c r="F46" s="245"/>
    </row>
  </sheetData>
  <mergeCells count="7">
    <mergeCell ref="C14:E14"/>
    <mergeCell ref="A1:F1"/>
    <mergeCell ref="A2:F2"/>
    <mergeCell ref="A3:F3"/>
    <mergeCell ref="C10:E10"/>
    <mergeCell ref="C11:E11"/>
    <mergeCell ref="C13:E13"/>
  </mergeCell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85546875" style="88" customWidth="1"/>
    <col min="2" max="2" width="42.85546875" style="89" customWidth="1"/>
    <col min="3" max="3" width="13.7109375" style="75" bestFit="1" customWidth="1"/>
    <col min="4" max="4" width="9.140625" style="90"/>
    <col min="5" max="5" width="12.140625" style="75" customWidth="1"/>
    <col min="6" max="6" width="16.42578125" style="94" customWidth="1"/>
    <col min="7" max="7" width="22.140625" style="75" hidden="1" customWidth="1"/>
    <col min="8" max="16384" width="9.140625" style="75"/>
  </cols>
  <sheetData>
    <row r="1" spans="1:6" ht="18.75">
      <c r="A1" s="306" t="s">
        <v>0</v>
      </c>
      <c r="B1" s="306"/>
      <c r="C1" s="306"/>
      <c r="D1" s="306"/>
      <c r="E1" s="306"/>
      <c r="F1" s="306"/>
    </row>
    <row r="2" spans="1:6" ht="18.75">
      <c r="A2" s="306" t="s">
        <v>38</v>
      </c>
      <c r="B2" s="306"/>
      <c r="C2" s="306"/>
      <c r="D2" s="306"/>
      <c r="E2" s="306"/>
      <c r="F2" s="306"/>
    </row>
    <row r="3" spans="1:6" ht="41.25" customHeight="1">
      <c r="A3" s="310" t="s">
        <v>296</v>
      </c>
      <c r="B3" s="310"/>
      <c r="C3" s="310"/>
      <c r="D3" s="310"/>
      <c r="E3" s="310"/>
      <c r="F3" s="310"/>
    </row>
    <row r="4" spans="1:6">
      <c r="A4" s="259" t="s">
        <v>39</v>
      </c>
      <c r="B4" s="259" t="s">
        <v>40</v>
      </c>
      <c r="C4" s="259" t="s">
        <v>41</v>
      </c>
      <c r="D4" s="259" t="s">
        <v>5</v>
      </c>
      <c r="E4" s="259" t="s">
        <v>42</v>
      </c>
      <c r="F4" s="259" t="s">
        <v>43</v>
      </c>
    </row>
    <row r="5" spans="1:6" ht="165">
      <c r="A5" s="79" t="s">
        <v>244</v>
      </c>
      <c r="B5" s="79" t="s">
        <v>60</v>
      </c>
      <c r="C5" s="79">
        <v>38.42</v>
      </c>
      <c r="D5" s="79" t="s">
        <v>61</v>
      </c>
      <c r="E5" s="79">
        <v>167.33</v>
      </c>
      <c r="F5" s="79">
        <f t="shared" ref="F5:F16" si="0">C5*E5</f>
        <v>6428.8186000000005</v>
      </c>
    </row>
    <row r="6" spans="1:6" ht="105">
      <c r="A6" s="79" t="s">
        <v>245</v>
      </c>
      <c r="B6" s="79" t="s">
        <v>246</v>
      </c>
      <c r="C6" s="79">
        <v>7.08</v>
      </c>
      <c r="D6" s="79" t="s">
        <v>44</v>
      </c>
      <c r="E6" s="79">
        <v>589.51</v>
      </c>
      <c r="F6" s="79">
        <f t="shared" si="0"/>
        <v>4173.7308000000003</v>
      </c>
    </row>
    <row r="7" spans="1:6" ht="90">
      <c r="A7" s="79" t="s">
        <v>247</v>
      </c>
      <c r="B7" s="79" t="s">
        <v>65</v>
      </c>
      <c r="C7" s="79">
        <v>11.8</v>
      </c>
      <c r="D7" s="79" t="s">
        <v>61</v>
      </c>
      <c r="E7" s="79">
        <v>1756.4</v>
      </c>
      <c r="F7" s="79">
        <f t="shared" si="0"/>
        <v>20725.520000000004</v>
      </c>
    </row>
    <row r="8" spans="1:6" ht="90">
      <c r="A8" s="79" t="s">
        <v>248</v>
      </c>
      <c r="B8" s="79" t="s">
        <v>67</v>
      </c>
      <c r="C8" s="79">
        <v>67.849999999999994</v>
      </c>
      <c r="D8" s="79" t="s">
        <v>61</v>
      </c>
      <c r="E8" s="79">
        <v>4961.7299999999996</v>
      </c>
      <c r="F8" s="79">
        <f t="shared" si="0"/>
        <v>336653.38049999997</v>
      </c>
    </row>
    <row r="9" spans="1:6" ht="60">
      <c r="A9" s="79" t="s">
        <v>249</v>
      </c>
      <c r="B9" s="79" t="s">
        <v>69</v>
      </c>
      <c r="C9" s="79">
        <v>42.75</v>
      </c>
      <c r="D9" s="79" t="s">
        <v>70</v>
      </c>
      <c r="E9" s="79">
        <v>194.5</v>
      </c>
      <c r="F9" s="79">
        <f t="shared" si="0"/>
        <v>8314.875</v>
      </c>
    </row>
    <row r="10" spans="1:6" ht="90">
      <c r="A10" s="260" t="s">
        <v>250</v>
      </c>
      <c r="B10" s="261" t="s">
        <v>251</v>
      </c>
      <c r="C10" s="79">
        <v>128.25</v>
      </c>
      <c r="D10" s="79" t="s">
        <v>70</v>
      </c>
      <c r="E10" s="79">
        <v>877.72</v>
      </c>
      <c r="F10" s="79">
        <f t="shared" si="0"/>
        <v>112567.59</v>
      </c>
    </row>
    <row r="11" spans="1:6">
      <c r="A11" s="81">
        <v>7</v>
      </c>
      <c r="B11" s="79" t="s">
        <v>71</v>
      </c>
      <c r="C11" s="79"/>
      <c r="D11" s="79"/>
      <c r="E11" s="79"/>
      <c r="F11" s="79"/>
    </row>
    <row r="12" spans="1:6">
      <c r="A12" s="79" t="s">
        <v>72</v>
      </c>
      <c r="B12" s="79" t="s">
        <v>252</v>
      </c>
      <c r="C12" s="79">
        <v>29.14</v>
      </c>
      <c r="D12" s="79" t="s">
        <v>61</v>
      </c>
      <c r="E12" s="79">
        <v>744.66</v>
      </c>
      <c r="F12" s="79">
        <f t="shared" si="0"/>
        <v>21699.392400000001</v>
      </c>
    </row>
    <row r="13" spans="1:6">
      <c r="A13" s="79" t="s">
        <v>74</v>
      </c>
      <c r="B13" s="79" t="s">
        <v>253</v>
      </c>
      <c r="C13" s="79">
        <v>7.08</v>
      </c>
      <c r="D13" s="79" t="s">
        <v>61</v>
      </c>
      <c r="E13" s="79">
        <v>387.54</v>
      </c>
      <c r="F13" s="79">
        <f t="shared" si="0"/>
        <v>2743.7832000000003</v>
      </c>
    </row>
    <row r="14" spans="1:6">
      <c r="A14" s="79" t="s">
        <v>76</v>
      </c>
      <c r="B14" s="79" t="s">
        <v>254</v>
      </c>
      <c r="C14" s="79">
        <v>11.8</v>
      </c>
      <c r="D14" s="79" t="s">
        <v>61</v>
      </c>
      <c r="E14" s="79">
        <v>570.94000000000005</v>
      </c>
      <c r="F14" s="79">
        <f t="shared" si="0"/>
        <v>6737.0920000000015</v>
      </c>
    </row>
    <row r="15" spans="1:6">
      <c r="A15" s="79" t="s">
        <v>78</v>
      </c>
      <c r="B15" s="79" t="s">
        <v>255</v>
      </c>
      <c r="C15" s="79">
        <v>58.28</v>
      </c>
      <c r="D15" s="79" t="s">
        <v>61</v>
      </c>
      <c r="E15" s="79">
        <v>342.9</v>
      </c>
      <c r="F15" s="79">
        <f t="shared" si="0"/>
        <v>19984.212</v>
      </c>
    </row>
    <row r="16" spans="1:6">
      <c r="A16" s="79" t="s">
        <v>80</v>
      </c>
      <c r="B16" s="79" t="s">
        <v>256</v>
      </c>
      <c r="C16" s="79">
        <v>38.42</v>
      </c>
      <c r="D16" s="79" t="s">
        <v>61</v>
      </c>
      <c r="E16" s="79">
        <v>117.54</v>
      </c>
      <c r="F16" s="79">
        <f t="shared" si="0"/>
        <v>4515.8868000000002</v>
      </c>
    </row>
    <row r="17" spans="1:6">
      <c r="A17" s="79"/>
      <c r="B17" s="79"/>
      <c r="C17" s="79"/>
      <c r="D17" s="79"/>
      <c r="E17" s="79" t="s">
        <v>52</v>
      </c>
      <c r="F17" s="79">
        <f>SUM(F5:F16)</f>
        <v>544544.28129999992</v>
      </c>
    </row>
    <row r="18" spans="1:6">
      <c r="A18" s="83"/>
      <c r="B18" s="84"/>
      <c r="C18" s="85"/>
      <c r="D18" s="81"/>
      <c r="E18" s="79" t="s">
        <v>81</v>
      </c>
      <c r="F18" s="79">
        <f>F17*18/100</f>
        <v>98017.970633999983</v>
      </c>
    </row>
    <row r="19" spans="1:6">
      <c r="A19" s="83"/>
      <c r="B19" s="84"/>
      <c r="C19" s="85"/>
      <c r="D19" s="81"/>
      <c r="E19" s="79"/>
      <c r="F19" s="79">
        <f>F18+F17</f>
        <v>642562.25193399994</v>
      </c>
    </row>
    <row r="20" spans="1:6">
      <c r="A20" s="83"/>
      <c r="B20" s="84"/>
      <c r="C20" s="85"/>
      <c r="D20" s="81"/>
      <c r="E20" s="79" t="s">
        <v>82</v>
      </c>
      <c r="F20" s="79">
        <f>F19*1/100</f>
        <v>6425.6225193399996</v>
      </c>
    </row>
    <row r="21" spans="1:6">
      <c r="A21" s="83"/>
      <c r="B21" s="84"/>
      <c r="C21" s="85"/>
      <c r="D21" s="81"/>
      <c r="E21" s="79" t="s">
        <v>52</v>
      </c>
      <c r="F21" s="79">
        <f>F20+F19</f>
        <v>648987.87445333996</v>
      </c>
    </row>
  </sheetData>
  <mergeCells count="3">
    <mergeCell ref="A1:F1"/>
    <mergeCell ref="A2:F2"/>
    <mergeCell ref="A3:F3"/>
  </mergeCell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85546875" style="88" customWidth="1"/>
    <col min="2" max="2" width="42.85546875" style="89" customWidth="1"/>
    <col min="3" max="3" width="13.7109375" style="75" bestFit="1" customWidth="1"/>
    <col min="4" max="4" width="9.140625" style="90"/>
    <col min="5" max="5" width="12.140625" style="75" customWidth="1"/>
    <col min="6" max="6" width="16.42578125" style="94" customWidth="1"/>
    <col min="7" max="7" width="22.140625" style="75" hidden="1" customWidth="1"/>
    <col min="8" max="16384" width="9.140625" style="75"/>
  </cols>
  <sheetData>
    <row r="1" spans="1:6" ht="18.75">
      <c r="A1" s="306" t="s">
        <v>0</v>
      </c>
      <c r="B1" s="306"/>
      <c r="C1" s="306"/>
      <c r="D1" s="306"/>
      <c r="E1" s="306"/>
      <c r="F1" s="306"/>
    </row>
    <row r="2" spans="1:6" ht="18.75">
      <c r="A2" s="306" t="s">
        <v>38</v>
      </c>
      <c r="B2" s="306"/>
      <c r="C2" s="306"/>
      <c r="D2" s="306"/>
      <c r="E2" s="306"/>
      <c r="F2" s="306"/>
    </row>
    <row r="3" spans="1:6" ht="64.5" customHeight="1">
      <c r="A3" s="310" t="s">
        <v>243</v>
      </c>
      <c r="B3" s="310"/>
      <c r="C3" s="310"/>
      <c r="D3" s="310"/>
      <c r="E3" s="310"/>
      <c r="F3" s="310"/>
    </row>
    <row r="4" spans="1:6">
      <c r="A4" s="224" t="s">
        <v>39</v>
      </c>
      <c r="B4" s="224" t="s">
        <v>40</v>
      </c>
      <c r="C4" s="224" t="s">
        <v>41</v>
      </c>
      <c r="D4" s="224" t="s">
        <v>5</v>
      </c>
      <c r="E4" s="224" t="s">
        <v>42</v>
      </c>
      <c r="F4" s="224" t="s">
        <v>43</v>
      </c>
    </row>
    <row r="5" spans="1:6" ht="165">
      <c r="A5" s="79" t="s">
        <v>244</v>
      </c>
      <c r="B5" s="79" t="s">
        <v>60</v>
      </c>
      <c r="C5" s="79">
        <v>129.52000000000001</v>
      </c>
      <c r="D5" s="79" t="s">
        <v>61</v>
      </c>
      <c r="E5" s="79">
        <v>167.33</v>
      </c>
      <c r="F5" s="79">
        <f t="shared" ref="F5:F16" si="0">C5*E5</f>
        <v>21672.581600000005</v>
      </c>
    </row>
    <row r="6" spans="1:6" ht="105">
      <c r="A6" s="79" t="s">
        <v>245</v>
      </c>
      <c r="B6" s="79" t="s">
        <v>246</v>
      </c>
      <c r="C6" s="79">
        <v>39.65</v>
      </c>
      <c r="D6" s="79" t="s">
        <v>44</v>
      </c>
      <c r="E6" s="79">
        <v>589.51</v>
      </c>
      <c r="F6" s="79">
        <f t="shared" si="0"/>
        <v>23374.071499999998</v>
      </c>
    </row>
    <row r="7" spans="1:6" ht="90">
      <c r="A7" s="79" t="s">
        <v>247</v>
      </c>
      <c r="B7" s="79" t="s">
        <v>65</v>
      </c>
      <c r="C7" s="79">
        <v>66.08</v>
      </c>
      <c r="D7" s="79" t="s">
        <v>61</v>
      </c>
      <c r="E7" s="79">
        <v>1756.4</v>
      </c>
      <c r="F7" s="79">
        <f t="shared" si="0"/>
        <v>116062.912</v>
      </c>
    </row>
    <row r="8" spans="1:6" ht="90">
      <c r="A8" s="79" t="s">
        <v>248</v>
      </c>
      <c r="B8" s="79" t="s">
        <v>67</v>
      </c>
      <c r="C8" s="79">
        <v>81.94</v>
      </c>
      <c r="D8" s="79" t="s">
        <v>61</v>
      </c>
      <c r="E8" s="79">
        <v>4961.7299999999996</v>
      </c>
      <c r="F8" s="79">
        <f t="shared" si="0"/>
        <v>406564.15619999997</v>
      </c>
    </row>
    <row r="9" spans="1:6" ht="60">
      <c r="A9" s="79" t="s">
        <v>249</v>
      </c>
      <c r="B9" s="79" t="s">
        <v>69</v>
      </c>
      <c r="C9" s="79">
        <v>52.04</v>
      </c>
      <c r="D9" s="79" t="s">
        <v>70</v>
      </c>
      <c r="E9" s="79">
        <v>194.5</v>
      </c>
      <c r="F9" s="79">
        <f t="shared" si="0"/>
        <v>10121.780000000001</v>
      </c>
    </row>
    <row r="10" spans="1:6" ht="90">
      <c r="A10" s="260" t="s">
        <v>250</v>
      </c>
      <c r="B10" s="261" t="s">
        <v>251</v>
      </c>
      <c r="C10" s="79">
        <v>156.13</v>
      </c>
      <c r="D10" s="79" t="s">
        <v>70</v>
      </c>
      <c r="E10" s="79">
        <v>877.72</v>
      </c>
      <c r="F10" s="79">
        <f t="shared" si="0"/>
        <v>137038.42360000001</v>
      </c>
    </row>
    <row r="11" spans="1:6">
      <c r="A11" s="81">
        <v>7</v>
      </c>
      <c r="B11" s="79" t="s">
        <v>71</v>
      </c>
      <c r="C11" s="79"/>
      <c r="D11" s="79"/>
      <c r="E11" s="79"/>
      <c r="F11" s="79"/>
    </row>
    <row r="12" spans="1:6">
      <c r="A12" s="79" t="s">
        <v>72</v>
      </c>
      <c r="B12" s="79" t="s">
        <v>252</v>
      </c>
      <c r="C12" s="79">
        <v>35.19</v>
      </c>
      <c r="D12" s="79" t="s">
        <v>61</v>
      </c>
      <c r="E12" s="79">
        <v>744.66</v>
      </c>
      <c r="F12" s="79">
        <f t="shared" si="0"/>
        <v>26204.585399999996</v>
      </c>
    </row>
    <row r="13" spans="1:6">
      <c r="A13" s="79" t="s">
        <v>74</v>
      </c>
      <c r="B13" s="79" t="s">
        <v>253</v>
      </c>
      <c r="C13" s="79">
        <v>39.65</v>
      </c>
      <c r="D13" s="79" t="s">
        <v>61</v>
      </c>
      <c r="E13" s="79">
        <v>387.54</v>
      </c>
      <c r="F13" s="79">
        <f t="shared" si="0"/>
        <v>15365.961000000001</v>
      </c>
    </row>
    <row r="14" spans="1:6">
      <c r="A14" s="79" t="s">
        <v>76</v>
      </c>
      <c r="B14" s="79" t="s">
        <v>254</v>
      </c>
      <c r="C14" s="79">
        <v>66.08</v>
      </c>
      <c r="D14" s="79" t="s">
        <v>61</v>
      </c>
      <c r="E14" s="79">
        <v>570.94000000000005</v>
      </c>
      <c r="F14" s="79">
        <f t="shared" si="0"/>
        <v>37727.715200000006</v>
      </c>
    </row>
    <row r="15" spans="1:6">
      <c r="A15" s="79" t="s">
        <v>78</v>
      </c>
      <c r="B15" s="79" t="s">
        <v>255</v>
      </c>
      <c r="C15" s="79">
        <v>70.38</v>
      </c>
      <c r="D15" s="79" t="s">
        <v>61</v>
      </c>
      <c r="E15" s="79">
        <v>342.9</v>
      </c>
      <c r="F15" s="79">
        <f t="shared" si="0"/>
        <v>24133.301999999996</v>
      </c>
    </row>
    <row r="16" spans="1:6">
      <c r="A16" s="79" t="s">
        <v>80</v>
      </c>
      <c r="B16" s="79" t="s">
        <v>256</v>
      </c>
      <c r="C16" s="79">
        <v>129.52000000000001</v>
      </c>
      <c r="D16" s="79" t="s">
        <v>61</v>
      </c>
      <c r="E16" s="79">
        <v>117.54</v>
      </c>
      <c r="F16" s="79">
        <f t="shared" si="0"/>
        <v>15223.780800000002</v>
      </c>
    </row>
    <row r="17" spans="1:6">
      <c r="A17" s="79"/>
      <c r="B17" s="79"/>
      <c r="C17" s="79"/>
      <c r="D17" s="79"/>
      <c r="E17" s="79" t="s">
        <v>52</v>
      </c>
      <c r="F17" s="79">
        <f>SUM(F5:F16)</f>
        <v>833489.26929999993</v>
      </c>
    </row>
    <row r="18" spans="1:6">
      <c r="A18" s="83"/>
      <c r="B18" s="84"/>
      <c r="C18" s="85"/>
      <c r="D18" s="81"/>
      <c r="E18" s="79" t="s">
        <v>81</v>
      </c>
      <c r="F18" s="79">
        <f>F17*18/100</f>
        <v>150028.06847399997</v>
      </c>
    </row>
    <row r="19" spans="1:6">
      <c r="A19" s="83"/>
      <c r="B19" s="84"/>
      <c r="C19" s="85"/>
      <c r="D19" s="81"/>
      <c r="E19" s="79"/>
      <c r="F19" s="79">
        <f>F18+F17</f>
        <v>983517.3377739999</v>
      </c>
    </row>
    <row r="20" spans="1:6">
      <c r="A20" s="83"/>
      <c r="B20" s="84"/>
      <c r="C20" s="85"/>
      <c r="D20" s="81"/>
      <c r="E20" s="79" t="s">
        <v>82</v>
      </c>
      <c r="F20" s="79">
        <f>F19*1/100</f>
        <v>9835.1733777399986</v>
      </c>
    </row>
    <row r="21" spans="1:6">
      <c r="A21" s="83"/>
      <c r="B21" s="84"/>
      <c r="C21" s="85"/>
      <c r="D21" s="81"/>
      <c r="E21" s="79" t="s">
        <v>52</v>
      </c>
      <c r="F21" s="79">
        <f>F20+F19</f>
        <v>993352.51115173986</v>
      </c>
    </row>
  </sheetData>
  <mergeCells count="3">
    <mergeCell ref="A1:F1"/>
    <mergeCell ref="A2:F2"/>
    <mergeCell ref="A3:F3"/>
  </mergeCells>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G21"/>
  <sheetViews>
    <sheetView topLeftCell="A4" workbookViewId="0">
      <selection activeCell="B7" sqref="B7"/>
    </sheetView>
  </sheetViews>
  <sheetFormatPr defaultRowHeight="15"/>
  <cols>
    <col min="1" max="1" width="8.85546875" style="88" customWidth="1"/>
    <col min="2" max="2" width="42.85546875" style="89" customWidth="1"/>
    <col min="3" max="3" width="13.7109375" style="75" bestFit="1" customWidth="1"/>
    <col min="4" max="4" width="9.140625" style="90"/>
    <col min="5" max="5" width="12.140625" style="75" customWidth="1"/>
    <col min="6" max="6" width="16.42578125" style="94" customWidth="1"/>
    <col min="7" max="7" width="22.140625" style="75" hidden="1" customWidth="1"/>
    <col min="8" max="16384" width="9.140625" style="75"/>
  </cols>
  <sheetData>
    <row r="1" spans="1:6" ht="18.75">
      <c r="A1" s="306" t="s">
        <v>0</v>
      </c>
      <c r="B1" s="306"/>
      <c r="C1" s="306"/>
      <c r="D1" s="306"/>
      <c r="E1" s="306"/>
      <c r="F1" s="306"/>
    </row>
    <row r="2" spans="1:6" ht="18.75">
      <c r="A2" s="306" t="s">
        <v>38</v>
      </c>
      <c r="B2" s="306"/>
      <c r="C2" s="306"/>
      <c r="D2" s="306"/>
      <c r="E2" s="306"/>
      <c r="F2" s="306"/>
    </row>
    <row r="3" spans="1:6" ht="41.25" customHeight="1">
      <c r="A3" s="310" t="s">
        <v>257</v>
      </c>
      <c r="B3" s="310"/>
      <c r="C3" s="310"/>
      <c r="D3" s="310"/>
      <c r="E3" s="310"/>
      <c r="F3" s="310"/>
    </row>
    <row r="4" spans="1:6">
      <c r="A4" s="224" t="s">
        <v>39</v>
      </c>
      <c r="B4" s="224" t="s">
        <v>40</v>
      </c>
      <c r="C4" s="224" t="s">
        <v>41</v>
      </c>
      <c r="D4" s="224" t="s">
        <v>5</v>
      </c>
      <c r="E4" s="224" t="s">
        <v>42</v>
      </c>
      <c r="F4" s="224" t="s">
        <v>43</v>
      </c>
    </row>
    <row r="5" spans="1:6" ht="165">
      <c r="A5" s="79" t="s">
        <v>244</v>
      </c>
      <c r="B5" s="79" t="s">
        <v>60</v>
      </c>
      <c r="C5" s="79">
        <v>69.38</v>
      </c>
      <c r="D5" s="79" t="s">
        <v>61</v>
      </c>
      <c r="E5" s="79">
        <v>167.33</v>
      </c>
      <c r="F5" s="79">
        <f t="shared" ref="F5:F16" si="0">C5*E5</f>
        <v>11609.3554</v>
      </c>
    </row>
    <row r="6" spans="1:6" ht="105">
      <c r="A6" s="79" t="s">
        <v>245</v>
      </c>
      <c r="B6" s="79" t="s">
        <v>246</v>
      </c>
      <c r="C6" s="79">
        <v>21.24</v>
      </c>
      <c r="D6" s="79" t="s">
        <v>44</v>
      </c>
      <c r="E6" s="79">
        <v>589.51</v>
      </c>
      <c r="F6" s="79">
        <f t="shared" si="0"/>
        <v>12521.192399999998</v>
      </c>
    </row>
    <row r="7" spans="1:6" ht="90">
      <c r="A7" s="79" t="s">
        <v>247</v>
      </c>
      <c r="B7" s="79" t="s">
        <v>65</v>
      </c>
      <c r="C7" s="79">
        <v>35.4</v>
      </c>
      <c r="D7" s="79" t="s">
        <v>61</v>
      </c>
      <c r="E7" s="79">
        <v>1756.4</v>
      </c>
      <c r="F7" s="79">
        <f t="shared" si="0"/>
        <v>62176.56</v>
      </c>
    </row>
    <row r="8" spans="1:6" ht="90">
      <c r="A8" s="79" t="s">
        <v>248</v>
      </c>
      <c r="B8" s="79" t="s">
        <v>67</v>
      </c>
      <c r="C8" s="79">
        <v>43.9</v>
      </c>
      <c r="D8" s="79" t="s">
        <v>61</v>
      </c>
      <c r="E8" s="79">
        <v>4961.7299999999996</v>
      </c>
      <c r="F8" s="79">
        <f t="shared" si="0"/>
        <v>217819.94699999999</v>
      </c>
    </row>
    <row r="9" spans="1:6" ht="60">
      <c r="A9" s="79" t="s">
        <v>249</v>
      </c>
      <c r="B9" s="79" t="s">
        <v>69</v>
      </c>
      <c r="C9" s="79">
        <v>26.02</v>
      </c>
      <c r="D9" s="79" t="s">
        <v>70</v>
      </c>
      <c r="E9" s="79">
        <v>194.5</v>
      </c>
      <c r="F9" s="79">
        <f t="shared" si="0"/>
        <v>5060.8900000000003</v>
      </c>
    </row>
    <row r="10" spans="1:6" ht="90">
      <c r="A10" s="260" t="s">
        <v>250</v>
      </c>
      <c r="B10" s="261" t="s">
        <v>251</v>
      </c>
      <c r="C10" s="79">
        <v>78.06</v>
      </c>
      <c r="D10" s="79" t="s">
        <v>70</v>
      </c>
      <c r="E10" s="79">
        <v>877.72</v>
      </c>
      <c r="F10" s="79">
        <f t="shared" si="0"/>
        <v>68514.823199999999</v>
      </c>
    </row>
    <row r="11" spans="1:6">
      <c r="A11" s="81">
        <v>7</v>
      </c>
      <c r="B11" s="79" t="s">
        <v>71</v>
      </c>
      <c r="C11" s="79"/>
      <c r="D11" s="79"/>
      <c r="E11" s="79"/>
      <c r="F11" s="79"/>
    </row>
    <row r="12" spans="1:6">
      <c r="A12" s="79" t="s">
        <v>72</v>
      </c>
      <c r="B12" s="79" t="s">
        <v>252</v>
      </c>
      <c r="C12" s="79">
        <v>18.850000000000001</v>
      </c>
      <c r="D12" s="79" t="s">
        <v>61</v>
      </c>
      <c r="E12" s="79">
        <v>744.66</v>
      </c>
      <c r="F12" s="79">
        <f t="shared" si="0"/>
        <v>14036.841</v>
      </c>
    </row>
    <row r="13" spans="1:6">
      <c r="A13" s="79" t="s">
        <v>74</v>
      </c>
      <c r="B13" s="79" t="s">
        <v>253</v>
      </c>
      <c r="C13" s="79">
        <v>21.24</v>
      </c>
      <c r="D13" s="79" t="s">
        <v>61</v>
      </c>
      <c r="E13" s="79">
        <v>387.54</v>
      </c>
      <c r="F13" s="79">
        <f t="shared" si="0"/>
        <v>8231.3495999999996</v>
      </c>
    </row>
    <row r="14" spans="1:6">
      <c r="A14" s="79" t="s">
        <v>76</v>
      </c>
      <c r="B14" s="79" t="s">
        <v>254</v>
      </c>
      <c r="C14" s="79">
        <v>35.4</v>
      </c>
      <c r="D14" s="79" t="s">
        <v>61</v>
      </c>
      <c r="E14" s="79">
        <v>570.94000000000005</v>
      </c>
      <c r="F14" s="79">
        <f t="shared" si="0"/>
        <v>20211.276000000002</v>
      </c>
    </row>
    <row r="15" spans="1:6">
      <c r="A15" s="79" t="s">
        <v>78</v>
      </c>
      <c r="B15" s="79" t="s">
        <v>255</v>
      </c>
      <c r="C15" s="79">
        <v>37.71</v>
      </c>
      <c r="D15" s="79" t="s">
        <v>61</v>
      </c>
      <c r="E15" s="79">
        <v>342.9</v>
      </c>
      <c r="F15" s="79">
        <f t="shared" si="0"/>
        <v>12930.759</v>
      </c>
    </row>
    <row r="16" spans="1:6">
      <c r="A16" s="79" t="s">
        <v>80</v>
      </c>
      <c r="B16" s="79" t="s">
        <v>256</v>
      </c>
      <c r="C16" s="79">
        <v>69</v>
      </c>
      <c r="D16" s="79" t="s">
        <v>61</v>
      </c>
      <c r="E16" s="79">
        <v>117.54</v>
      </c>
      <c r="F16" s="79">
        <f t="shared" si="0"/>
        <v>8110.26</v>
      </c>
    </row>
    <row r="17" spans="1:6">
      <c r="A17" s="79"/>
      <c r="B17" s="79"/>
      <c r="C17" s="79"/>
      <c r="D17" s="79"/>
      <c r="E17" s="79" t="s">
        <v>52</v>
      </c>
      <c r="F17" s="79">
        <f>SUM(F5:F16)</f>
        <v>441223.25360000005</v>
      </c>
    </row>
    <row r="18" spans="1:6">
      <c r="A18" s="83"/>
      <c r="B18" s="84"/>
      <c r="C18" s="85"/>
      <c r="D18" s="81"/>
      <c r="E18" s="79" t="s">
        <v>81</v>
      </c>
      <c r="F18" s="79">
        <f>F17*18/100</f>
        <v>79420.185648000013</v>
      </c>
    </row>
    <row r="19" spans="1:6">
      <c r="A19" s="83"/>
      <c r="B19" s="84"/>
      <c r="C19" s="85"/>
      <c r="D19" s="81"/>
      <c r="E19" s="79"/>
      <c r="F19" s="79">
        <f>F18+F17</f>
        <v>520643.43924800004</v>
      </c>
    </row>
    <row r="20" spans="1:6">
      <c r="A20" s="83"/>
      <c r="B20" s="84"/>
      <c r="C20" s="85"/>
      <c r="D20" s="81"/>
      <c r="E20" s="79" t="s">
        <v>82</v>
      </c>
      <c r="F20" s="79">
        <f>F19*1/100</f>
        <v>5206.4343924800005</v>
      </c>
    </row>
    <row r="21" spans="1:6">
      <c r="A21" s="83"/>
      <c r="B21" s="84"/>
      <c r="C21" s="85"/>
      <c r="D21" s="81"/>
      <c r="E21" s="79" t="s">
        <v>52</v>
      </c>
      <c r="F21" s="79">
        <f>F20+F19</f>
        <v>525849.87364047999</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ColWidth="9.140625" defaultRowHeight="15"/>
  <cols>
    <col min="1" max="1" width="9.28515625" style="88" bestFit="1" customWidth="1"/>
    <col min="2" max="2" width="42.28515625" style="89" customWidth="1"/>
    <col min="3" max="3" width="9.140625" style="75" customWidth="1"/>
    <col min="4" max="4" width="9.140625" style="90"/>
    <col min="5" max="5" width="11.28515625" style="91" bestFit="1" customWidth="1"/>
    <col min="6" max="6" width="18.5703125" style="91" bestFit="1" customWidth="1"/>
    <col min="7" max="16384" width="9.140625" style="75"/>
  </cols>
  <sheetData>
    <row r="1" spans="1:6" ht="60.75" customHeight="1">
      <c r="A1" s="305" t="s">
        <v>0</v>
      </c>
      <c r="B1" s="305"/>
      <c r="C1" s="305"/>
      <c r="D1" s="305"/>
      <c r="E1" s="305"/>
      <c r="F1" s="305"/>
    </row>
    <row r="2" spans="1:6" ht="18.75">
      <c r="A2" s="306" t="s">
        <v>38</v>
      </c>
      <c r="B2" s="306"/>
      <c r="C2" s="306"/>
      <c r="D2" s="306"/>
      <c r="E2" s="306"/>
      <c r="F2" s="306"/>
    </row>
    <row r="3" spans="1:6" ht="55.5" customHeight="1">
      <c r="A3" s="310" t="str">
        <f>[5]Drain!A3</f>
        <v>Name of Work :-Construction of RCC Drain at Hotwar,Lohra Toli from Water Tank to Nayak Toli Temple under ward no-07</v>
      </c>
      <c r="B3" s="310"/>
      <c r="C3" s="310"/>
      <c r="D3" s="310"/>
      <c r="E3" s="310"/>
      <c r="F3" s="310"/>
    </row>
    <row r="4" spans="1:6">
      <c r="A4" s="76" t="s">
        <v>39</v>
      </c>
      <c r="B4" s="76" t="s">
        <v>40</v>
      </c>
      <c r="C4" s="76" t="s">
        <v>41</v>
      </c>
      <c r="D4" s="76" t="s">
        <v>5</v>
      </c>
      <c r="E4" s="77" t="s">
        <v>42</v>
      </c>
      <c r="F4" s="77" t="s">
        <v>43</v>
      </c>
    </row>
    <row r="5" spans="1:6" ht="75">
      <c r="A5" s="78" t="str">
        <f>[5]Drain!A5</f>
        <v>1            5.10.1</v>
      </c>
      <c r="B5" s="79" t="str">
        <f>[5]Drain!B5</f>
        <v xml:space="preserve">Dismantling plain cement or lime concrete work including stacking serviceable materials in countable stacks within 15M.lead and disposal of unserviceable materials with all leads complete  as per direction of E/I.              </v>
      </c>
      <c r="C5" s="80">
        <f>[5]Drain!G8</f>
        <v>1.42</v>
      </c>
      <c r="D5" s="81" t="str">
        <f>D7</f>
        <v>M3</v>
      </c>
      <c r="E5" s="82">
        <f>[5]Drain!I8</f>
        <v>541.66999999999996</v>
      </c>
      <c r="F5" s="82">
        <f>ROUND((C5*E5),2)</f>
        <v>769.17</v>
      </c>
    </row>
    <row r="6" spans="1:6" ht="120">
      <c r="A6" s="78" t="str">
        <f>[5]Drain!A9</f>
        <v>2            5.1.1</v>
      </c>
      <c r="B6" s="79" t="str">
        <f>[5]Drain!B9</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6" s="80">
        <f>[5]Drain!G12</f>
        <v>82.97</v>
      </c>
      <c r="D6" s="81" t="str">
        <f>D7</f>
        <v>M3</v>
      </c>
      <c r="E6" s="82">
        <f>[5]Drain!I12</f>
        <v>151.82</v>
      </c>
      <c r="F6" s="82">
        <f>ROUND((C6*E6),2)</f>
        <v>12596.51</v>
      </c>
    </row>
    <row r="7" spans="1:6" ht="120">
      <c r="A7" s="78" t="str">
        <f>[5]Drain!A13</f>
        <v>34/M004</v>
      </c>
      <c r="B7" s="79" t="str">
        <f>[2]Sheet1!B9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7" s="80">
        <f>[5]Drain!G16</f>
        <v>5.17</v>
      </c>
      <c r="D7" s="81" t="s">
        <v>44</v>
      </c>
      <c r="E7" s="82">
        <f>[2]Sheet1!I12</f>
        <v>347.85</v>
      </c>
      <c r="F7" s="82">
        <f t="shared" ref="F7:F20" si="0">ROUND((C7*E7),2)</f>
        <v>1798.38</v>
      </c>
    </row>
    <row r="8" spans="1:6" ht="90">
      <c r="A8" s="78" t="str">
        <f>[5]Drain!A17</f>
        <v>45.6.8</v>
      </c>
      <c r="B8" s="79" t="str">
        <f>[2]Sheet1!B13</f>
        <v>Supplying and laying (properly as per design and drawing) rip-rap with good  quality of boulders duly packed including the cost of materials, royalty all taxes etc. but excluding the cost of carriage all complete as per specification and direction of E/I.</v>
      </c>
      <c r="C8" s="80">
        <f>[5]Drain!G20</f>
        <v>13.24</v>
      </c>
      <c r="D8" s="81" t="s">
        <v>44</v>
      </c>
      <c r="E8" s="82">
        <f>[2]Sheet1!I16</f>
        <v>1756.4</v>
      </c>
      <c r="F8" s="82">
        <f t="shared" si="0"/>
        <v>23254.74</v>
      </c>
    </row>
    <row r="9" spans="1:6" ht="90">
      <c r="A9" s="78" t="str">
        <f>[5]Drain!A21</f>
        <v>55.3.10</v>
      </c>
      <c r="B9" s="79" t="str">
        <f>[2]Sheet1!B17</f>
        <v>Providing and laying in position cement concrete of specified grade excluding the cost of centering and shuttering - All work up to plinth level1:1.5:3 (1 Cement : 1.5 coarse sand zone(III): 3 graded stone aggregate 20mm nominal size)</v>
      </c>
      <c r="C9" s="80">
        <f>[5]Drain!G25</f>
        <v>34.869999999999997</v>
      </c>
      <c r="D9" s="81" t="s">
        <v>44</v>
      </c>
      <c r="E9" s="82">
        <f>[5]Drain!I25</f>
        <v>6082.45</v>
      </c>
      <c r="F9" s="82">
        <f t="shared" si="0"/>
        <v>212095.03</v>
      </c>
    </row>
    <row r="10" spans="1:6" ht="105">
      <c r="A10" s="78" t="str">
        <f>[5]Drain!A26</f>
        <v>6 5.3.11</v>
      </c>
      <c r="B10" s="79" t="str">
        <f>[5]Drain!B26</f>
        <v>Renforced cement conrete work in beams, suspended floors, having slopeup to 15' landing, balconies, shelves, chajjas, lintels, bands, plain windowsill ---------do----do-------E/I1:1.5:3 (1 Cement : 1.5 coarse sand zone(III): 3 graded stone aggregate 20mm nominal size)</v>
      </c>
      <c r="C10" s="80">
        <f>[5]Drain!G29</f>
        <v>16.14</v>
      </c>
      <c r="D10" s="81" t="str">
        <f>D9</f>
        <v>M3</v>
      </c>
      <c r="E10" s="82">
        <f>[5]Drain!I29</f>
        <v>6308.87</v>
      </c>
      <c r="F10" s="82">
        <f t="shared" si="0"/>
        <v>101825.16</v>
      </c>
    </row>
    <row r="11" spans="1:6" ht="135">
      <c r="A11" s="78">
        <f>[5]Drain!A30</f>
        <v>7</v>
      </c>
      <c r="B11" s="79" t="str">
        <f>[5]Drain!B30</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1" s="80"/>
      <c r="D11" s="81"/>
      <c r="E11" s="82"/>
      <c r="F11" s="82"/>
    </row>
    <row r="12" spans="1:6">
      <c r="A12" s="78" t="str">
        <f>[5]Drain!A35</f>
        <v>(A)5.5.4</v>
      </c>
      <c r="B12" s="79" t="str">
        <f>[5]Drain!B35</f>
        <v>08mm dia 40%</v>
      </c>
      <c r="C12" s="93">
        <f>[5]Drain!G35</f>
        <v>1.621</v>
      </c>
      <c r="D12" s="81" t="str">
        <f>[5]Drain!H35</f>
        <v>M.T.</v>
      </c>
      <c r="E12" s="82">
        <f>[5]Drain!I35</f>
        <v>83314.02</v>
      </c>
      <c r="F12" s="82">
        <f t="shared" si="0"/>
        <v>135052.03</v>
      </c>
    </row>
    <row r="13" spans="1:6" ht="30">
      <c r="A13" s="78" t="str">
        <f>[5]Drain!A36</f>
        <v>(B)5.5.5(a)</v>
      </c>
      <c r="B13" s="79" t="str">
        <f>[5]Drain!B36</f>
        <v>10mm dia 60%</v>
      </c>
      <c r="C13" s="93">
        <f>[5]Drain!G36</f>
        <v>2.4319999999999999</v>
      </c>
      <c r="D13" s="81" t="str">
        <f>D12</f>
        <v>M.T.</v>
      </c>
      <c r="E13" s="82">
        <f>[5]Drain!I36</f>
        <v>82096.539999999994</v>
      </c>
      <c r="F13" s="82">
        <f t="shared" si="0"/>
        <v>199658.79</v>
      </c>
    </row>
    <row r="14" spans="1:6" ht="60">
      <c r="A14" s="78" t="str">
        <f>[5]Drain!A38</f>
        <v>85.3.17.1</v>
      </c>
      <c r="B14" s="79" t="str">
        <f>[5]Drain!B38</f>
        <v>Centering and Shuttering including strutting, propping etc and removal of from for   Foundation , footing , bases of columns etc for mass concrete.</v>
      </c>
      <c r="C14" s="80">
        <f>[5]Drain!G42</f>
        <v>370.82</v>
      </c>
      <c r="D14" s="81" t="str">
        <f>[5]Drain!H42</f>
        <v>m2</v>
      </c>
      <c r="E14" s="82">
        <f>[5]Drain!I42</f>
        <v>194.5</v>
      </c>
      <c r="F14" s="82">
        <f t="shared" si="0"/>
        <v>72124.490000000005</v>
      </c>
    </row>
    <row r="15" spans="1:6">
      <c r="A15" s="83">
        <v>6</v>
      </c>
      <c r="B15" s="84" t="s">
        <v>46</v>
      </c>
      <c r="C15" s="85"/>
      <c r="D15" s="81"/>
      <c r="E15" s="82"/>
      <c r="F15" s="82"/>
    </row>
    <row r="16" spans="1:6">
      <c r="A16" s="86" t="s">
        <v>14</v>
      </c>
      <c r="B16" s="87" t="s">
        <v>47</v>
      </c>
      <c r="C16" s="80">
        <f>[5]Drain!G44</f>
        <v>21.93</v>
      </c>
      <c r="D16" s="81" t="s">
        <v>44</v>
      </c>
      <c r="E16" s="92">
        <f>[2]Sheet1!I26</f>
        <v>848.82</v>
      </c>
      <c r="F16" s="82">
        <f t="shared" si="0"/>
        <v>18614.62</v>
      </c>
    </row>
    <row r="17" spans="1:6">
      <c r="A17" s="86" t="s">
        <v>16</v>
      </c>
      <c r="B17" s="87" t="str">
        <f>[5]Drain!B45</f>
        <v>Stone Dust (Lead 22 KM)</v>
      </c>
      <c r="C17" s="80">
        <f>[5]Drain!G45</f>
        <v>5.17</v>
      </c>
      <c r="D17" s="81" t="s">
        <v>44</v>
      </c>
      <c r="E17" s="92">
        <f>[2]Sheet1!I27</f>
        <v>447.06</v>
      </c>
      <c r="F17" s="82">
        <f t="shared" si="0"/>
        <v>2311.3000000000002</v>
      </c>
    </row>
    <row r="18" spans="1:6">
      <c r="A18" s="86" t="s">
        <v>18</v>
      </c>
      <c r="B18" s="87" t="s">
        <v>49</v>
      </c>
      <c r="C18" s="80">
        <f>[5]Drain!G46</f>
        <v>13.24</v>
      </c>
      <c r="D18" s="81" t="s">
        <v>44</v>
      </c>
      <c r="E18" s="92">
        <f>[2]Sheet1!I28</f>
        <v>679.66</v>
      </c>
      <c r="F18" s="82">
        <f t="shared" si="0"/>
        <v>8998.7000000000007</v>
      </c>
    </row>
    <row r="19" spans="1:6">
      <c r="A19" s="86" t="s">
        <v>20</v>
      </c>
      <c r="B19" s="87" t="s">
        <v>50</v>
      </c>
      <c r="C19" s="80">
        <f>[5]Drain!G47</f>
        <v>43.87</v>
      </c>
      <c r="D19" s="81" t="s">
        <v>44</v>
      </c>
      <c r="E19" s="92">
        <f>[2]Sheet1!I29</f>
        <v>447.06</v>
      </c>
      <c r="F19" s="82">
        <f t="shared" si="0"/>
        <v>19612.52</v>
      </c>
    </row>
    <row r="20" spans="1:6">
      <c r="A20" s="86" t="s">
        <v>22</v>
      </c>
      <c r="B20" s="87" t="s">
        <v>51</v>
      </c>
      <c r="C20" s="80">
        <f>[5]Drain!G48</f>
        <v>82.97</v>
      </c>
      <c r="D20" s="81" t="s">
        <v>44</v>
      </c>
      <c r="E20" s="92">
        <f>[2]Sheet1!I30</f>
        <v>117.54</v>
      </c>
      <c r="F20" s="82">
        <f t="shared" si="0"/>
        <v>9752.2900000000009</v>
      </c>
    </row>
    <row r="21" spans="1:6" ht="18.75">
      <c r="A21" s="83"/>
      <c r="B21" s="84"/>
      <c r="C21" s="85"/>
      <c r="D21" s="81"/>
      <c r="E21" s="82" t="s">
        <v>52</v>
      </c>
      <c r="F21" s="44">
        <f>SUM(F5:F20)</f>
        <v>818463.7300000001</v>
      </c>
    </row>
    <row r="22" spans="1:6" ht="18.75">
      <c r="A22" s="304" t="s">
        <v>53</v>
      </c>
      <c r="B22" s="304"/>
      <c r="C22" s="304"/>
      <c r="D22" s="304"/>
      <c r="E22" s="304"/>
      <c r="F22" s="44">
        <f>ROUND((F21*18%),2)</f>
        <v>147323.47</v>
      </c>
    </row>
    <row r="23" spans="1:6" ht="18.75">
      <c r="A23" s="304" t="s">
        <v>24</v>
      </c>
      <c r="B23" s="304" t="s">
        <v>24</v>
      </c>
      <c r="C23" s="304"/>
      <c r="D23" s="304"/>
      <c r="E23" s="304"/>
      <c r="F23" s="44">
        <f>F21+F22</f>
        <v>965787.20000000007</v>
      </c>
    </row>
    <row r="24" spans="1:6" ht="18.75">
      <c r="A24" s="304" t="s">
        <v>54</v>
      </c>
      <c r="B24" s="304" t="s">
        <v>55</v>
      </c>
      <c r="C24" s="304"/>
      <c r="D24" s="304"/>
      <c r="E24" s="304"/>
      <c r="F24" s="44">
        <f>ROUND((F23*1%),2)</f>
        <v>9657.8700000000008</v>
      </c>
    </row>
    <row r="25" spans="1:6" ht="18.75">
      <c r="A25" s="304" t="s">
        <v>24</v>
      </c>
      <c r="B25" s="304" t="s">
        <v>24</v>
      </c>
      <c r="C25" s="304"/>
      <c r="D25" s="304"/>
      <c r="E25" s="304"/>
      <c r="F25" s="44">
        <f>F23+F24</f>
        <v>975445.07000000007</v>
      </c>
    </row>
    <row r="26" spans="1:6" ht="18.75">
      <c r="A26" s="304" t="s">
        <v>27</v>
      </c>
      <c r="B26" s="304" t="s">
        <v>27</v>
      </c>
      <c r="C26" s="304"/>
      <c r="D26" s="304"/>
      <c r="E26" s="304"/>
      <c r="F26" s="44">
        <f>ROUND((F25),0)</f>
        <v>975445</v>
      </c>
    </row>
  </sheetData>
  <mergeCells count="8">
    <mergeCell ref="A25:E25"/>
    <mergeCell ref="A26:E26"/>
    <mergeCell ref="A1:F1"/>
    <mergeCell ref="A2:F2"/>
    <mergeCell ref="A3:F3"/>
    <mergeCell ref="A22:E22"/>
    <mergeCell ref="A23:E23"/>
    <mergeCell ref="A24:E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ColWidth="9.140625" defaultRowHeight="15"/>
  <cols>
    <col min="1" max="1" width="9.28515625" style="88" bestFit="1" customWidth="1"/>
    <col min="2" max="2" width="42.28515625" style="89" customWidth="1"/>
    <col min="3" max="3" width="9.140625" style="75" customWidth="1"/>
    <col min="4" max="4" width="9.140625" style="90"/>
    <col min="5" max="5" width="11.28515625" style="91" bestFit="1" customWidth="1"/>
    <col min="6" max="6" width="16.42578125" style="91" customWidth="1"/>
    <col min="7" max="16384" width="9.140625" style="75"/>
  </cols>
  <sheetData>
    <row r="1" spans="1:6" ht="60.75" customHeight="1">
      <c r="A1" s="305" t="s">
        <v>0</v>
      </c>
      <c r="B1" s="305"/>
      <c r="C1" s="305"/>
      <c r="D1" s="305"/>
      <c r="E1" s="305"/>
      <c r="F1" s="305"/>
    </row>
    <row r="2" spans="1:6" ht="36" customHeight="1">
      <c r="A2" s="306" t="s">
        <v>38</v>
      </c>
      <c r="B2" s="306"/>
      <c r="C2" s="306"/>
      <c r="D2" s="306"/>
      <c r="E2" s="306"/>
      <c r="F2" s="306"/>
    </row>
    <row r="3" spans="1:6" ht="55.5" customHeight="1">
      <c r="A3" s="310" t="str">
        <f>[6]Sheet1!A3</f>
        <v>Name of Work :- Construction of PCC Road at Mahuatoli from house of Asharfi Devi to house of Nirmala Kerketa under ward no-07</v>
      </c>
      <c r="B3" s="310"/>
      <c r="C3" s="310"/>
      <c r="D3" s="310"/>
      <c r="E3" s="310"/>
      <c r="F3" s="310"/>
    </row>
    <row r="4" spans="1:6">
      <c r="A4" s="76" t="s">
        <v>39</v>
      </c>
      <c r="B4" s="76" t="s">
        <v>40</v>
      </c>
      <c r="C4" s="76" t="s">
        <v>41</v>
      </c>
      <c r="D4" s="76" t="s">
        <v>5</v>
      </c>
      <c r="E4" s="77" t="s">
        <v>42</v>
      </c>
      <c r="F4" s="77" t="s">
        <v>43</v>
      </c>
    </row>
    <row r="5" spans="1:6" ht="120">
      <c r="A5" s="78" t="str">
        <f>[6]Sheet1!A5</f>
        <v>1.            5.1.1</v>
      </c>
      <c r="B5" s="79" t="str">
        <f>[6]Sheet1!B5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80">
        <f>[6]Sheet1!G8</f>
        <v>61.6</v>
      </c>
      <c r="D5" s="81" t="str">
        <f>D6</f>
        <v>M3</v>
      </c>
      <c r="E5" s="82">
        <f>[6]Sheet1!I8</f>
        <v>151.82</v>
      </c>
      <c r="F5" s="82">
        <f>ROUND((C5*E5),2)</f>
        <v>9352.11</v>
      </c>
    </row>
    <row r="6" spans="1:6" ht="120">
      <c r="A6" s="78" t="str">
        <f>[6]Sheet1!A9</f>
        <v>2  4/M004</v>
      </c>
      <c r="B6" s="79" t="str">
        <f>[6]Sheet1!B9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80">
        <f>[6]Sheet1!G12</f>
        <v>17.29</v>
      </c>
      <c r="D6" s="81" t="s">
        <v>44</v>
      </c>
      <c r="E6" s="82">
        <f>[6]Sheet1!I12</f>
        <v>347.85</v>
      </c>
      <c r="F6" s="82">
        <f t="shared" ref="F6:F15" si="0">ROUND((C6*E6),2)</f>
        <v>6014.33</v>
      </c>
    </row>
    <row r="7" spans="1:6" ht="90">
      <c r="A7" s="78" t="str">
        <f>[6]Sheet1!A13</f>
        <v>3 5.6.8WRD</v>
      </c>
      <c r="B7" s="79" t="str">
        <f>[6]Sheet1!B13</f>
        <v>Supplying and laying (properly as per design and drawing) rip-rap with good  quality of boulders duly packed including the cost of materials, royalty all taxes etc. but excluding the cost of carriage all complete as per specification and direction of E/I.</v>
      </c>
      <c r="C7" s="80">
        <f>[6]Sheet1!G16</f>
        <v>44.31</v>
      </c>
      <c r="D7" s="81" t="s">
        <v>44</v>
      </c>
      <c r="E7" s="82">
        <f>[6]Sheet1!I16</f>
        <v>1756.4</v>
      </c>
      <c r="F7" s="82">
        <f t="shared" si="0"/>
        <v>77826.080000000002</v>
      </c>
    </row>
    <row r="8" spans="1:6" ht="90">
      <c r="A8" s="78" t="str">
        <f>[6]Sheet1!A17</f>
        <v>4 5.3.1.1</v>
      </c>
      <c r="B8" s="79" t="str">
        <f>[6]Sheet1!B17</f>
        <v>Providing and laying in position cement concrete of specified grade excluding the cost of centering and shuttering - All work up to plinth level1:1.5:3 (1 Cement : 1.5 coarse sand zone(III): 3 graded stone aggregate 20mm nominal size)</v>
      </c>
      <c r="C8" s="80">
        <f>[6]Sheet1!G20</f>
        <v>54.04</v>
      </c>
      <c r="D8" s="81" t="s">
        <v>44</v>
      </c>
      <c r="E8" s="82">
        <f>[6]Sheet1!I20</f>
        <v>4961.7299999999996</v>
      </c>
      <c r="F8" s="82">
        <f t="shared" si="0"/>
        <v>268131.89</v>
      </c>
    </row>
    <row r="9" spans="1:6" ht="60">
      <c r="A9" s="78" t="str">
        <f>[6]Sheet1!A21</f>
        <v>55.3.17.1</v>
      </c>
      <c r="B9" s="79" t="str">
        <f>[6]Sheet1!B21</f>
        <v>Centering and Shuttering including strutting, propping etc and removal of from for   Foundation , footing , bases of columns etc for mass concrete.</v>
      </c>
      <c r="C9" s="80">
        <f>[6]Sheet1!G24</f>
        <v>29.55</v>
      </c>
      <c r="D9" s="81" t="s">
        <v>45</v>
      </c>
      <c r="E9" s="82">
        <f>[6]Sheet1!I24</f>
        <v>194.5</v>
      </c>
      <c r="F9" s="82">
        <f t="shared" si="0"/>
        <v>5747.48</v>
      </c>
    </row>
    <row r="10" spans="1:6">
      <c r="A10" s="83">
        <v>6</v>
      </c>
      <c r="B10" s="84" t="s">
        <v>46</v>
      </c>
      <c r="C10" s="85"/>
      <c r="D10" s="81"/>
      <c r="E10" s="82"/>
      <c r="F10" s="82"/>
    </row>
    <row r="11" spans="1:6">
      <c r="A11" s="86" t="s">
        <v>14</v>
      </c>
      <c r="B11" s="87" t="s">
        <v>47</v>
      </c>
      <c r="C11" s="80">
        <f>[6]Sheet1!G26</f>
        <v>23.24</v>
      </c>
      <c r="D11" s="81" t="s">
        <v>44</v>
      </c>
      <c r="E11" s="92">
        <f>[6]Sheet1!I26</f>
        <v>848.82</v>
      </c>
      <c r="F11" s="82">
        <f t="shared" si="0"/>
        <v>19726.580000000002</v>
      </c>
    </row>
    <row r="12" spans="1:6">
      <c r="A12" s="86" t="s">
        <v>16</v>
      </c>
      <c r="B12" s="87" t="str">
        <f>[6]Sheet1!B27</f>
        <v>Stone Dust (Lead 22 KM)</v>
      </c>
      <c r="C12" s="79">
        <f>[6]Sheet1!G27</f>
        <v>17.29</v>
      </c>
      <c r="D12" s="81" t="s">
        <v>44</v>
      </c>
      <c r="E12" s="92">
        <f>[6]Sheet1!I27</f>
        <v>447.06</v>
      </c>
      <c r="F12" s="82">
        <f t="shared" si="0"/>
        <v>7729.67</v>
      </c>
    </row>
    <row r="13" spans="1:6">
      <c r="A13" s="86" t="s">
        <v>18</v>
      </c>
      <c r="B13" s="87" t="s">
        <v>49</v>
      </c>
      <c r="C13" s="80">
        <f>[6]Sheet1!G28</f>
        <v>44.31</v>
      </c>
      <c r="D13" s="81" t="s">
        <v>44</v>
      </c>
      <c r="E13" s="92">
        <f>[6]Sheet1!I28</f>
        <v>679.66</v>
      </c>
      <c r="F13" s="82">
        <f t="shared" si="0"/>
        <v>30115.73</v>
      </c>
    </row>
    <row r="14" spans="1:6">
      <c r="A14" s="86" t="s">
        <v>20</v>
      </c>
      <c r="B14" s="87" t="s">
        <v>50</v>
      </c>
      <c r="C14" s="80">
        <f>[6]Sheet1!G29</f>
        <v>46.47</v>
      </c>
      <c r="D14" s="81" t="s">
        <v>44</v>
      </c>
      <c r="E14" s="92">
        <f>[6]Sheet1!I29</f>
        <v>447.06</v>
      </c>
      <c r="F14" s="82">
        <f t="shared" si="0"/>
        <v>20774.88</v>
      </c>
    </row>
    <row r="15" spans="1:6">
      <c r="A15" s="86" t="s">
        <v>22</v>
      </c>
      <c r="B15" s="87" t="s">
        <v>51</v>
      </c>
      <c r="C15" s="79">
        <f>[6]Sheet1!G30</f>
        <v>61.6</v>
      </c>
      <c r="D15" s="81" t="s">
        <v>44</v>
      </c>
      <c r="E15" s="92">
        <f>[6]Sheet1!I30</f>
        <v>117.54</v>
      </c>
      <c r="F15" s="82">
        <f t="shared" si="0"/>
        <v>7240.46</v>
      </c>
    </row>
    <row r="16" spans="1:6" ht="18.75">
      <c r="A16" s="83"/>
      <c r="B16" s="84"/>
      <c r="C16" s="85"/>
      <c r="D16" s="81"/>
      <c r="E16" s="82" t="s">
        <v>52</v>
      </c>
      <c r="F16" s="44">
        <f>SUM(F5:F15)</f>
        <v>452659.21</v>
      </c>
    </row>
    <row r="17" spans="1:6" ht="18.75">
      <c r="A17" s="304" t="s">
        <v>53</v>
      </c>
      <c r="B17" s="304"/>
      <c r="C17" s="304"/>
      <c r="D17" s="304"/>
      <c r="E17" s="304"/>
      <c r="F17" s="44">
        <f>ROUND((F16*18%),2)</f>
        <v>81478.66</v>
      </c>
    </row>
    <row r="18" spans="1:6" ht="18.75">
      <c r="A18" s="304" t="s">
        <v>24</v>
      </c>
      <c r="B18" s="304" t="s">
        <v>24</v>
      </c>
      <c r="C18" s="304"/>
      <c r="D18" s="304"/>
      <c r="E18" s="304"/>
      <c r="F18" s="44">
        <f>F16+F17</f>
        <v>534137.87</v>
      </c>
    </row>
    <row r="19" spans="1:6" ht="18.75">
      <c r="A19" s="304" t="s">
        <v>54</v>
      </c>
      <c r="B19" s="304" t="s">
        <v>55</v>
      </c>
      <c r="C19" s="304"/>
      <c r="D19" s="304"/>
      <c r="E19" s="304"/>
      <c r="F19" s="44">
        <f>ROUND((F18*1%),2)</f>
        <v>5341.38</v>
      </c>
    </row>
    <row r="20" spans="1:6" ht="18.75">
      <c r="A20" s="304" t="s">
        <v>24</v>
      </c>
      <c r="B20" s="304" t="s">
        <v>24</v>
      </c>
      <c r="C20" s="304"/>
      <c r="D20" s="304"/>
      <c r="E20" s="304"/>
      <c r="F20" s="44">
        <f>F18+F19</f>
        <v>539479.25</v>
      </c>
    </row>
    <row r="21" spans="1:6" ht="18.75">
      <c r="A21" s="304" t="s">
        <v>27</v>
      </c>
      <c r="B21" s="304" t="s">
        <v>27</v>
      </c>
      <c r="C21" s="304"/>
      <c r="D21" s="304"/>
      <c r="E21" s="304"/>
      <c r="F21" s="44">
        <f>ROUND((F20),0)</f>
        <v>539479</v>
      </c>
    </row>
  </sheetData>
  <mergeCells count="8">
    <mergeCell ref="A20:E20"/>
    <mergeCell ref="A21:E21"/>
    <mergeCell ref="A1:F1"/>
    <mergeCell ref="A2:F2"/>
    <mergeCell ref="A3:F3"/>
    <mergeCell ref="A17:E17"/>
    <mergeCell ref="A18:E18"/>
    <mergeCell ref="A19:E1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G21"/>
  <sheetViews>
    <sheetView topLeftCell="A10" workbookViewId="0">
      <selection activeCell="F21" sqref="F21"/>
    </sheetView>
  </sheetViews>
  <sheetFormatPr defaultRowHeight="15"/>
  <cols>
    <col min="1" max="1" width="8.85546875" style="88" customWidth="1"/>
    <col min="2" max="2" width="42.85546875" style="89" customWidth="1"/>
    <col min="3" max="3" width="13.7109375" style="75" bestFit="1" customWidth="1"/>
    <col min="4" max="4" width="9.140625" style="90"/>
    <col min="5" max="5" width="12.140625" style="75" customWidth="1"/>
    <col min="6" max="6" width="16.42578125" style="94" customWidth="1"/>
    <col min="7" max="7" width="22.140625" style="75" hidden="1" customWidth="1"/>
    <col min="8" max="16384" width="9.140625" style="75"/>
  </cols>
  <sheetData>
    <row r="1" spans="1:6" ht="18.75">
      <c r="A1" s="306" t="s">
        <v>0</v>
      </c>
      <c r="B1" s="306"/>
      <c r="C1" s="306"/>
      <c r="D1" s="306"/>
      <c r="E1" s="306"/>
      <c r="F1" s="306"/>
    </row>
    <row r="2" spans="1:6" ht="18.75">
      <c r="A2" s="306" t="s">
        <v>38</v>
      </c>
      <c r="B2" s="306"/>
      <c r="C2" s="306"/>
      <c r="D2" s="306"/>
      <c r="E2" s="306"/>
      <c r="F2" s="306"/>
    </row>
    <row r="3" spans="1:6" ht="51.75" customHeight="1">
      <c r="A3" s="311" t="s">
        <v>302</v>
      </c>
      <c r="B3" s="312"/>
      <c r="C3" s="312"/>
      <c r="D3" s="312"/>
      <c r="E3" s="312"/>
      <c r="F3" s="313"/>
    </row>
    <row r="4" spans="1:6">
      <c r="A4" s="76" t="s">
        <v>39</v>
      </c>
      <c r="B4" s="76" t="s">
        <v>40</v>
      </c>
      <c r="C4" s="76" t="s">
        <v>41</v>
      </c>
      <c r="D4" s="76" t="s">
        <v>5</v>
      </c>
      <c r="E4" s="76" t="s">
        <v>42</v>
      </c>
      <c r="F4" s="76" t="s">
        <v>43</v>
      </c>
    </row>
    <row r="5" spans="1:6" ht="30">
      <c r="A5" s="81">
        <v>1</v>
      </c>
      <c r="B5" s="79" t="s">
        <v>57</v>
      </c>
      <c r="C5" s="79">
        <v>0</v>
      </c>
      <c r="D5" s="79" t="s">
        <v>58</v>
      </c>
      <c r="E5" s="79">
        <v>326.85000000000002</v>
      </c>
      <c r="F5" s="79">
        <f>C5*E5</f>
        <v>0</v>
      </c>
    </row>
    <row r="6" spans="1:6" ht="165">
      <c r="A6" s="79" t="s">
        <v>59</v>
      </c>
      <c r="B6" s="79" t="s">
        <v>60</v>
      </c>
      <c r="C6" s="79">
        <v>51.71</v>
      </c>
      <c r="D6" s="79" t="s">
        <v>61</v>
      </c>
      <c r="E6" s="79">
        <v>151.82</v>
      </c>
      <c r="F6" s="79">
        <f t="shared" ref="F6:F16" si="0">C6*E6</f>
        <v>7850.6121999999996</v>
      </c>
    </row>
    <row r="7" spans="1:6" ht="120">
      <c r="A7" s="79" t="s">
        <v>62</v>
      </c>
      <c r="B7" s="79" t="s">
        <v>63</v>
      </c>
      <c r="C7" s="79">
        <v>15.58</v>
      </c>
      <c r="D7" s="79" t="s">
        <v>61</v>
      </c>
      <c r="E7" s="79">
        <v>347.85</v>
      </c>
      <c r="F7" s="79">
        <f t="shared" si="0"/>
        <v>5419.5030000000006</v>
      </c>
    </row>
    <row r="8" spans="1:6" ht="90">
      <c r="A8" s="79" t="s">
        <v>64</v>
      </c>
      <c r="B8" s="79" t="s">
        <v>65</v>
      </c>
      <c r="C8" s="79">
        <v>26.17</v>
      </c>
      <c r="D8" s="79" t="s">
        <v>61</v>
      </c>
      <c r="E8" s="79">
        <v>1756.4</v>
      </c>
      <c r="F8" s="79">
        <f t="shared" si="0"/>
        <v>45964.988000000005</v>
      </c>
    </row>
    <row r="9" spans="1:6" ht="90">
      <c r="A9" s="79" t="s">
        <v>66</v>
      </c>
      <c r="B9" s="79" t="s">
        <v>67</v>
      </c>
      <c r="C9" s="79">
        <v>31.15</v>
      </c>
      <c r="D9" s="79" t="s">
        <v>61</v>
      </c>
      <c r="E9" s="79">
        <v>4961.7299999999996</v>
      </c>
      <c r="F9" s="79">
        <f t="shared" si="0"/>
        <v>154557.88949999999</v>
      </c>
    </row>
    <row r="10" spans="1:6" ht="60">
      <c r="A10" s="79" t="s">
        <v>68</v>
      </c>
      <c r="B10" s="79" t="s">
        <v>69</v>
      </c>
      <c r="C10" s="79">
        <v>20.45</v>
      </c>
      <c r="D10" s="79" t="s">
        <v>70</v>
      </c>
      <c r="E10" s="79">
        <v>194.5</v>
      </c>
      <c r="F10" s="79">
        <f t="shared" si="0"/>
        <v>3977.5249999999996</v>
      </c>
    </row>
    <row r="11" spans="1:6">
      <c r="A11" s="79">
        <v>7</v>
      </c>
      <c r="B11" s="79" t="s">
        <v>71</v>
      </c>
      <c r="C11" s="79"/>
      <c r="D11" s="79"/>
      <c r="E11" s="79"/>
      <c r="F11" s="79"/>
    </row>
    <row r="12" spans="1:6">
      <c r="A12" s="79" t="s">
        <v>72</v>
      </c>
      <c r="B12" s="79" t="s">
        <v>73</v>
      </c>
      <c r="C12" s="79">
        <v>13.39</v>
      </c>
      <c r="D12" s="79" t="s">
        <v>61</v>
      </c>
      <c r="E12" s="79">
        <v>744.66</v>
      </c>
      <c r="F12" s="79">
        <f t="shared" si="0"/>
        <v>9970.9974000000002</v>
      </c>
    </row>
    <row r="13" spans="1:6">
      <c r="A13" s="79" t="s">
        <v>74</v>
      </c>
      <c r="B13" s="79" t="s">
        <v>75</v>
      </c>
      <c r="C13" s="79">
        <v>15.58</v>
      </c>
      <c r="D13" s="79" t="s">
        <v>61</v>
      </c>
      <c r="E13" s="79">
        <v>342.9</v>
      </c>
      <c r="F13" s="79">
        <f t="shared" si="0"/>
        <v>5342.3819999999996</v>
      </c>
    </row>
    <row r="14" spans="1:6">
      <c r="A14" s="79" t="s">
        <v>76</v>
      </c>
      <c r="B14" s="79" t="s">
        <v>77</v>
      </c>
      <c r="C14" s="79">
        <v>26.79</v>
      </c>
      <c r="D14" s="79" t="s">
        <v>61</v>
      </c>
      <c r="E14" s="79">
        <v>342.9</v>
      </c>
      <c r="F14" s="79">
        <f t="shared" si="0"/>
        <v>9186.2909999999993</v>
      </c>
    </row>
    <row r="15" spans="1:6">
      <c r="A15" s="79" t="s">
        <v>78</v>
      </c>
      <c r="B15" s="79" t="s">
        <v>79</v>
      </c>
      <c r="C15" s="79">
        <v>26.17</v>
      </c>
      <c r="D15" s="79" t="s">
        <v>61</v>
      </c>
      <c r="E15" s="79">
        <v>570.94000000000005</v>
      </c>
      <c r="F15" s="79">
        <f t="shared" si="0"/>
        <v>14941.499800000003</v>
      </c>
    </row>
    <row r="16" spans="1:6">
      <c r="A16" s="79" t="s">
        <v>80</v>
      </c>
      <c r="B16" s="79" t="s">
        <v>51</v>
      </c>
      <c r="C16" s="79">
        <v>51.71</v>
      </c>
      <c r="D16" s="79" t="s">
        <v>61</v>
      </c>
      <c r="E16" s="79">
        <v>117.54</v>
      </c>
      <c r="F16" s="79">
        <f t="shared" si="0"/>
        <v>6077.9934000000003</v>
      </c>
    </row>
    <row r="17" spans="1:6">
      <c r="A17" s="79"/>
      <c r="B17" s="79"/>
      <c r="C17" s="79"/>
      <c r="D17" s="79"/>
      <c r="E17" s="79" t="s">
        <v>52</v>
      </c>
      <c r="F17" s="79">
        <f>SUM(F5:F16)</f>
        <v>263289.6813</v>
      </c>
    </row>
    <row r="18" spans="1:6">
      <c r="A18" s="83"/>
      <c r="B18" s="84"/>
      <c r="C18" s="85"/>
      <c r="D18" s="81"/>
      <c r="E18" s="79" t="s">
        <v>81</v>
      </c>
      <c r="F18" s="79">
        <f>F17*18/100</f>
        <v>47392.142633999996</v>
      </c>
    </row>
    <row r="19" spans="1:6">
      <c r="A19" s="83"/>
      <c r="B19" s="84"/>
      <c r="C19" s="85"/>
      <c r="D19" s="81"/>
      <c r="E19" s="79"/>
      <c r="F19" s="79">
        <f>F18+F17</f>
        <v>310681.82393399999</v>
      </c>
    </row>
    <row r="20" spans="1:6">
      <c r="A20" s="83"/>
      <c r="B20" s="84"/>
      <c r="C20" s="85"/>
      <c r="D20" s="81"/>
      <c r="E20" s="79" t="s">
        <v>82</v>
      </c>
      <c r="F20" s="79">
        <f>F19*1/100</f>
        <v>3106.8182393399998</v>
      </c>
    </row>
    <row r="21" spans="1:6">
      <c r="A21" s="83"/>
      <c r="B21" s="84"/>
      <c r="C21" s="85"/>
      <c r="D21" s="81"/>
      <c r="E21" s="79" t="s">
        <v>52</v>
      </c>
      <c r="F21" s="79">
        <f>F20+F19</f>
        <v>313788.64217333996</v>
      </c>
    </row>
  </sheetData>
  <mergeCells count="3">
    <mergeCell ref="A1:F1"/>
    <mergeCell ref="A2:F2"/>
    <mergeCell ref="A3:F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tabColor theme="0"/>
  </sheetPr>
  <dimension ref="A1:F31"/>
  <sheetViews>
    <sheetView topLeftCell="A16" workbookViewId="0">
      <selection sqref="A1:XFD1048576"/>
    </sheetView>
  </sheetViews>
  <sheetFormatPr defaultRowHeight="15"/>
  <cols>
    <col min="2" max="2" width="51.42578125" customWidth="1"/>
    <col min="5" max="5" width="9.5703125" bestFit="1" customWidth="1"/>
    <col min="6" max="6" width="18.5703125" style="29" bestFit="1" customWidth="1"/>
  </cols>
  <sheetData>
    <row r="1" spans="1:6" ht="25.5">
      <c r="A1" s="316" t="s">
        <v>0</v>
      </c>
      <c r="B1" s="317"/>
      <c r="C1" s="317"/>
      <c r="D1" s="317"/>
      <c r="E1" s="317"/>
      <c r="F1" s="318"/>
    </row>
    <row r="2" spans="1:6" ht="20.25">
      <c r="A2" s="319" t="s">
        <v>1</v>
      </c>
      <c r="B2" s="320"/>
      <c r="C2" s="320"/>
      <c r="D2" s="320"/>
      <c r="E2" s="320"/>
      <c r="F2" s="321"/>
    </row>
    <row r="3" spans="1:6" ht="32.25" customHeight="1">
      <c r="A3" s="322" t="s">
        <v>303</v>
      </c>
      <c r="B3" s="323"/>
      <c r="C3" s="323"/>
      <c r="D3" s="323"/>
      <c r="E3" s="323"/>
      <c r="F3" s="324"/>
    </row>
    <row r="4" spans="1:6" ht="31.5">
      <c r="A4" s="30" t="s">
        <v>2</v>
      </c>
      <c r="B4" s="31" t="s">
        <v>3</v>
      </c>
      <c r="C4" s="31" t="s">
        <v>4</v>
      </c>
      <c r="D4" s="31" t="s">
        <v>5</v>
      </c>
      <c r="E4" s="30" t="s">
        <v>6</v>
      </c>
      <c r="F4" s="32" t="s">
        <v>7</v>
      </c>
    </row>
    <row r="5" spans="1:6" ht="47.25">
      <c r="A5" s="30" t="str">
        <f>[7]ESTIMATE!A4</f>
        <v xml:space="preserve">    1         5.10.2</v>
      </c>
      <c r="B5" s="37" t="str">
        <f>[7]ESTIMATE!B4</f>
        <v>Dismantling plain cement or lime concrete work including ………do…….complete as per specification and  direction of E/I.</v>
      </c>
      <c r="C5" s="34">
        <v>4.93</v>
      </c>
      <c r="D5" s="35" t="s">
        <v>8</v>
      </c>
      <c r="E5" s="34">
        <f>[7]ESTIMATE!I6</f>
        <v>955.89</v>
      </c>
      <c r="F5" s="36">
        <f t="shared" ref="F5:F13" si="0">ROUND(C5*E5,2)</f>
        <v>4712.54</v>
      </c>
    </row>
    <row r="6" spans="1:6" ht="126">
      <c r="A6" s="30" t="str">
        <f>[7]ESTIMATE!A7</f>
        <v>2       5.1.1.</v>
      </c>
      <c r="B6" s="37" t="s">
        <v>9</v>
      </c>
      <c r="C6" s="34">
        <v>37.71</v>
      </c>
      <c r="D6" s="35" t="s">
        <v>8</v>
      </c>
      <c r="E6" s="34">
        <f>[7]ESTIMATE!I11</f>
        <v>151.82</v>
      </c>
      <c r="F6" s="36">
        <f t="shared" si="0"/>
        <v>5725.13</v>
      </c>
    </row>
    <row r="7" spans="1:6" ht="110.25">
      <c r="A7" s="30" t="str">
        <f>[7]ESTIMATE!A12</f>
        <v>3
4/M004</v>
      </c>
      <c r="B7" s="37" t="s">
        <v>10</v>
      </c>
      <c r="C7" s="34">
        <v>2.97</v>
      </c>
      <c r="D7" s="35" t="s">
        <v>8</v>
      </c>
      <c r="E7" s="34">
        <f>[7]ESTIMATE!I16</f>
        <v>347.85</v>
      </c>
      <c r="F7" s="36">
        <f t="shared" si="0"/>
        <v>1033.1099999999999</v>
      </c>
    </row>
    <row r="8" spans="1:6" ht="78.75">
      <c r="A8" s="30" t="str">
        <f>[7]ESTIMATE!A17</f>
        <v>4.       5.6.8</v>
      </c>
      <c r="B8" s="37" t="s">
        <v>11</v>
      </c>
      <c r="C8" s="34">
        <v>5</v>
      </c>
      <c r="D8" s="35" t="s">
        <v>8</v>
      </c>
      <c r="E8" s="34">
        <f>[7]ESTIMATE!I21</f>
        <v>1756.4</v>
      </c>
      <c r="F8" s="36">
        <f t="shared" si="0"/>
        <v>8782</v>
      </c>
    </row>
    <row r="9" spans="1:6" ht="126">
      <c r="A9" s="30" t="str">
        <f>[7]ESTIMATE!A22</f>
        <v>5.                                    5.3.10</v>
      </c>
      <c r="B9" s="227" t="str">
        <f>[7]ESTIMATE!B22</f>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
      <c r="C9" s="34">
        <v>14.87</v>
      </c>
      <c r="D9" s="35" t="s">
        <v>8</v>
      </c>
      <c r="E9" s="34">
        <f>[7]ESTIMATE!I28</f>
        <v>6082.45</v>
      </c>
      <c r="F9" s="36">
        <f t="shared" si="0"/>
        <v>90446.03</v>
      </c>
    </row>
    <row r="10" spans="1:6" ht="141.75">
      <c r="A10" s="30" t="str">
        <f>[7]ESTIMATE!A29</f>
        <v>6                  5.3.11</v>
      </c>
      <c r="B10" s="227" t="str">
        <f>[7]ESTIMATE!B29</f>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
      <c r="C10" s="34">
        <v>5.95</v>
      </c>
      <c r="D10" s="35" t="s">
        <v>8</v>
      </c>
      <c r="E10" s="34">
        <f>[7]ESTIMATE!I33</f>
        <v>6308.87</v>
      </c>
      <c r="F10" s="36">
        <f t="shared" si="0"/>
        <v>37537.78</v>
      </c>
    </row>
    <row r="11" spans="1:6" ht="141.75">
      <c r="A11" s="30">
        <f>[7]ESTIMATE!A34</f>
        <v>7</v>
      </c>
      <c r="B11" s="227" t="str">
        <f>[7]ESTIMATE!B34</f>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
      <c r="C11" s="34">
        <v>0.83</v>
      </c>
      <c r="D11" s="35" t="str">
        <f>[7]ESTIMATE!H37</f>
        <v>MT</v>
      </c>
      <c r="E11" s="34">
        <f>[7]ESTIMATE!I37</f>
        <v>83314.02</v>
      </c>
      <c r="F11" s="36">
        <f t="shared" si="0"/>
        <v>69150.64</v>
      </c>
    </row>
    <row r="12" spans="1:6" ht="15.75">
      <c r="A12" s="30" t="str">
        <f>[7]ESTIMATE!A38</f>
        <v>5.5.5 (a)</v>
      </c>
      <c r="B12" s="227"/>
      <c r="C12" s="34">
        <v>1.01</v>
      </c>
      <c r="D12" s="35" t="s">
        <v>275</v>
      </c>
      <c r="E12" s="34">
        <f>[7]ESTIMATE!I40</f>
        <v>82096.539999999994</v>
      </c>
      <c r="F12" s="36">
        <f t="shared" si="0"/>
        <v>82917.509999999995</v>
      </c>
    </row>
    <row r="13" spans="1:6" ht="63">
      <c r="A13" s="30" t="str">
        <f>[7]ESTIMATE!A41</f>
        <v>8                 5.3.17.1</v>
      </c>
      <c r="B13" s="37" t="str">
        <f>[7]ESTIMATE!B41</f>
        <v>Centering and shuttering including strutting, propping etc. and removal of from for Foundations,footings, bases of columns, etc. for mass concrete.</v>
      </c>
      <c r="C13" s="34">
        <v>78.069999999999993</v>
      </c>
      <c r="D13" s="39" t="s">
        <v>12</v>
      </c>
      <c r="E13" s="38">
        <f>[7]ESTIMATE!I47</f>
        <v>194.5</v>
      </c>
      <c r="F13" s="32">
        <f t="shared" si="0"/>
        <v>15184.62</v>
      </c>
    </row>
    <row r="14" spans="1:6" ht="15.75">
      <c r="A14" s="30">
        <f>[7]ESTIMATE!A48</f>
        <v>9</v>
      </c>
      <c r="B14" s="40" t="s">
        <v>13</v>
      </c>
      <c r="C14" s="35"/>
      <c r="D14" s="41"/>
      <c r="E14" s="42"/>
      <c r="F14" s="36"/>
    </row>
    <row r="15" spans="1:6" ht="15.75">
      <c r="A15" s="228" t="s">
        <v>14</v>
      </c>
      <c r="B15" s="8" t="s">
        <v>73</v>
      </c>
      <c r="C15" s="35">
        <v>8.9499999999999993</v>
      </c>
      <c r="D15" s="41" t="s">
        <v>8</v>
      </c>
      <c r="E15" s="1">
        <f>[7]ESTIMATE!I49</f>
        <v>744.66</v>
      </c>
      <c r="F15" s="36">
        <f t="shared" ref="F15:F19" si="1">ROUND(C15*E15,2)</f>
        <v>6664.71</v>
      </c>
    </row>
    <row r="16" spans="1:6" ht="15.75">
      <c r="A16" s="228" t="s">
        <v>16</v>
      </c>
      <c r="B16" s="8" t="s">
        <v>75</v>
      </c>
      <c r="C16" s="35">
        <v>2.97</v>
      </c>
      <c r="D16" s="41" t="s">
        <v>8</v>
      </c>
      <c r="E16" s="16">
        <f>[7]ESTIMATE!I50</f>
        <v>342.9</v>
      </c>
      <c r="F16" s="36">
        <f t="shared" si="1"/>
        <v>1018.41</v>
      </c>
    </row>
    <row r="17" spans="1:6" ht="15.75">
      <c r="A17" s="228" t="s">
        <v>18</v>
      </c>
      <c r="B17" s="8" t="s">
        <v>77</v>
      </c>
      <c r="C17" s="35">
        <v>17.91</v>
      </c>
      <c r="D17" s="41" t="s">
        <v>8</v>
      </c>
      <c r="E17" s="16">
        <f>[7]ESTIMATE!I51</f>
        <v>342.9</v>
      </c>
      <c r="F17" s="36">
        <f t="shared" si="1"/>
        <v>6141.34</v>
      </c>
    </row>
    <row r="18" spans="1:6" ht="15.75">
      <c r="A18" s="228" t="s">
        <v>20</v>
      </c>
      <c r="B18" s="8" t="s">
        <v>304</v>
      </c>
      <c r="C18" s="35">
        <v>5</v>
      </c>
      <c r="D18" s="41" t="s">
        <v>8</v>
      </c>
      <c r="E18" s="1">
        <f>[7]ESTIMATE!I52</f>
        <v>570.94000000000005</v>
      </c>
      <c r="F18" s="36">
        <f t="shared" si="1"/>
        <v>2854.7</v>
      </c>
    </row>
    <row r="19" spans="1:6" ht="15.75">
      <c r="A19" s="228" t="s">
        <v>22</v>
      </c>
      <c r="B19" s="8" t="s">
        <v>51</v>
      </c>
      <c r="C19" s="35">
        <v>37.71</v>
      </c>
      <c r="D19" s="41" t="s">
        <v>8</v>
      </c>
      <c r="E19" s="16">
        <f>[7]ESTIMATE!I53</f>
        <v>117.54</v>
      </c>
      <c r="F19" s="36">
        <f t="shared" si="1"/>
        <v>4432.43</v>
      </c>
    </row>
    <row r="20" spans="1:6" ht="15.75">
      <c r="A20" s="43"/>
      <c r="B20" s="43"/>
      <c r="C20" s="314" t="s">
        <v>24</v>
      </c>
      <c r="D20" s="314"/>
      <c r="E20" s="315"/>
      <c r="F20" s="36">
        <f>SUM(F5:F19)</f>
        <v>336600.95</v>
      </c>
    </row>
    <row r="21" spans="1:6" ht="15.75">
      <c r="A21" s="43"/>
      <c r="B21" s="43"/>
      <c r="C21" s="325" t="s">
        <v>25</v>
      </c>
      <c r="D21" s="314"/>
      <c r="E21" s="315"/>
      <c r="F21" s="36">
        <f>F20*18%</f>
        <v>60588.171000000002</v>
      </c>
    </row>
    <row r="22" spans="1:6" ht="15.75">
      <c r="A22" s="43"/>
      <c r="B22" s="43"/>
      <c r="C22" s="325" t="s">
        <v>24</v>
      </c>
      <c r="D22" s="314"/>
      <c r="E22" s="315"/>
      <c r="F22" s="36">
        <f>SUM(F20:F21)</f>
        <v>397189.12100000004</v>
      </c>
    </row>
    <row r="23" spans="1:6" ht="15.75">
      <c r="A23" s="43"/>
      <c r="B23" s="43"/>
      <c r="C23" s="314" t="s">
        <v>305</v>
      </c>
      <c r="D23" s="314"/>
      <c r="E23" s="315"/>
      <c r="F23" s="36">
        <f>ROUND(F22*0.01,2)</f>
        <v>3971.89</v>
      </c>
    </row>
    <row r="24" spans="1:6" ht="15.75">
      <c r="A24" s="43"/>
      <c r="B24" s="43"/>
      <c r="C24" s="314" t="s">
        <v>24</v>
      </c>
      <c r="D24" s="314"/>
      <c r="E24" s="315"/>
      <c r="F24" s="36">
        <f>SUM(F22:F23)</f>
        <v>401161.01100000006</v>
      </c>
    </row>
    <row r="25" spans="1:6" ht="18.75">
      <c r="A25" s="43"/>
      <c r="B25" s="43"/>
      <c r="C25" s="314" t="s">
        <v>27</v>
      </c>
      <c r="D25" s="314"/>
      <c r="E25" s="315"/>
      <c r="F25" s="44">
        <f>ROUND(F24,0)</f>
        <v>401161</v>
      </c>
    </row>
    <row r="26" spans="1:6" ht="18.75">
      <c r="A26" s="302"/>
      <c r="B26" s="302"/>
      <c r="C26" s="303"/>
      <c r="D26" s="303"/>
      <c r="E26" s="303"/>
      <c r="F26" s="51"/>
    </row>
    <row r="27" spans="1:6" ht="18.75">
      <c r="A27" s="302"/>
      <c r="B27" s="302"/>
      <c r="C27" s="303"/>
      <c r="D27" s="303"/>
      <c r="E27" s="303"/>
      <c r="F27" s="51"/>
    </row>
    <row r="28" spans="1:6">
      <c r="A28" s="48"/>
    </row>
    <row r="29" spans="1:6">
      <c r="A29" s="48"/>
    </row>
    <row r="30" spans="1:6" ht="18.75">
      <c r="A30" s="48"/>
      <c r="B30" s="49" t="s">
        <v>28</v>
      </c>
      <c r="C30" s="50" t="s">
        <v>29</v>
      </c>
      <c r="F30" s="51" t="s">
        <v>30</v>
      </c>
    </row>
    <row r="31" spans="1:6" ht="18.75">
      <c r="A31" s="48"/>
      <c r="B31" s="49" t="s">
        <v>31</v>
      </c>
      <c r="C31" s="50" t="s">
        <v>32</v>
      </c>
      <c r="F31" s="51" t="s">
        <v>31</v>
      </c>
    </row>
  </sheetData>
  <mergeCells count="9">
    <mergeCell ref="C23:E23"/>
    <mergeCell ref="C24:E24"/>
    <mergeCell ref="C25:E25"/>
    <mergeCell ref="A1:F1"/>
    <mergeCell ref="A2:F2"/>
    <mergeCell ref="A3:F3"/>
    <mergeCell ref="C20:E20"/>
    <mergeCell ref="C21:E21"/>
    <mergeCell ref="C22:E2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28515625" style="112" bestFit="1" customWidth="1"/>
    <col min="2" max="2" width="46.140625" style="113" customWidth="1"/>
    <col min="3" max="3" width="12.28515625" customWidth="1"/>
    <col min="4" max="4" width="6.7109375" bestFit="1" customWidth="1"/>
    <col min="5" max="5" width="12" style="114" customWidth="1"/>
    <col min="6" max="6" width="22.7109375" style="48" bestFit="1" customWidth="1"/>
  </cols>
  <sheetData>
    <row r="1" spans="1:6" ht="28.5">
      <c r="A1" s="328" t="s">
        <v>0</v>
      </c>
      <c r="B1" s="328"/>
      <c r="C1" s="328"/>
      <c r="D1" s="328"/>
      <c r="E1" s="328"/>
      <c r="F1" s="328"/>
    </row>
    <row r="2" spans="1:6" ht="28.5">
      <c r="A2" s="95"/>
      <c r="B2" s="329" t="s">
        <v>83</v>
      </c>
      <c r="C2" s="329"/>
      <c r="D2" s="329"/>
      <c r="E2" s="329"/>
      <c r="F2" s="95"/>
    </row>
    <row r="3" spans="1:6" s="96" customFormat="1" ht="51" customHeight="1">
      <c r="A3" s="330" t="s">
        <v>84</v>
      </c>
      <c r="B3" s="331"/>
      <c r="C3" s="331"/>
      <c r="D3" s="331"/>
      <c r="E3" s="331"/>
      <c r="F3" s="332"/>
    </row>
    <row r="4" spans="1:6" s="96" customFormat="1" ht="15.75">
      <c r="A4" s="30" t="s">
        <v>85</v>
      </c>
      <c r="B4" s="30" t="s">
        <v>86</v>
      </c>
      <c r="C4" s="30" t="s">
        <v>4</v>
      </c>
      <c r="D4" s="30" t="s">
        <v>5</v>
      </c>
      <c r="E4" s="30" t="s">
        <v>87</v>
      </c>
      <c r="F4" s="30" t="s">
        <v>88</v>
      </c>
    </row>
    <row r="5" spans="1:6" s="101" customFormat="1" ht="47.25">
      <c r="A5" s="97">
        <v>1</v>
      </c>
      <c r="B5" s="97" t="s">
        <v>89</v>
      </c>
      <c r="C5" s="98">
        <v>10</v>
      </c>
      <c r="D5" s="98" t="s">
        <v>58</v>
      </c>
      <c r="E5" s="99">
        <v>326.85000000000002</v>
      </c>
      <c r="F5" s="100">
        <v>3268.5</v>
      </c>
    </row>
    <row r="6" spans="1:6" ht="78.75">
      <c r="A6" s="102" t="s">
        <v>90</v>
      </c>
      <c r="B6" s="103" t="s">
        <v>91</v>
      </c>
      <c r="C6" s="104">
        <v>62.739999999999995</v>
      </c>
      <c r="D6" s="104" t="s">
        <v>70</v>
      </c>
      <c r="E6" s="104">
        <v>194.5</v>
      </c>
      <c r="F6" s="105">
        <v>12203</v>
      </c>
    </row>
    <row r="7" spans="1:6" s="101" customFormat="1" ht="141.75">
      <c r="A7" s="102" t="s">
        <v>92</v>
      </c>
      <c r="B7" s="103" t="s">
        <v>93</v>
      </c>
      <c r="C7" s="106">
        <v>114.7</v>
      </c>
      <c r="D7" s="107" t="s">
        <v>8</v>
      </c>
      <c r="E7" s="99">
        <v>4961.7299999999996</v>
      </c>
      <c r="F7" s="108">
        <v>569110.43000000005</v>
      </c>
    </row>
    <row r="8" spans="1:6" s="101" customFormat="1" ht="15.75">
      <c r="A8" s="97">
        <v>7</v>
      </c>
      <c r="B8" s="102" t="s">
        <v>13</v>
      </c>
      <c r="C8" s="105"/>
      <c r="D8" s="109"/>
      <c r="E8" s="109"/>
      <c r="F8" s="105"/>
    </row>
    <row r="9" spans="1:6" s="101" customFormat="1" ht="15.75">
      <c r="A9" s="97"/>
      <c r="B9" s="103" t="s">
        <v>94</v>
      </c>
      <c r="C9" s="105">
        <f>[8]MATERIAL!F4</f>
        <v>49.32</v>
      </c>
      <c r="D9" s="97" t="s">
        <v>8</v>
      </c>
      <c r="E9" s="110">
        <v>848.82</v>
      </c>
      <c r="F9" s="105">
        <f t="shared" ref="F9:F10" si="0">ROUND(C9*E9,2)</f>
        <v>41863.800000000003</v>
      </c>
    </row>
    <row r="10" spans="1:6" s="101" customFormat="1" ht="15.75" customHeight="1">
      <c r="A10" s="97"/>
      <c r="B10" s="103" t="s">
        <v>95</v>
      </c>
      <c r="C10" s="105">
        <f>PRODUCT([8]MATERIAL!H4)</f>
        <v>98.64</v>
      </c>
      <c r="D10" s="97" t="s">
        <v>8</v>
      </c>
      <c r="E10" s="110">
        <v>447.06</v>
      </c>
      <c r="F10" s="105">
        <f t="shared" si="0"/>
        <v>44098</v>
      </c>
    </row>
    <row r="11" spans="1:6" s="101" customFormat="1" ht="15.75">
      <c r="A11" s="97"/>
      <c r="B11" s="301"/>
      <c r="C11" s="326" t="s">
        <v>24</v>
      </c>
      <c r="D11" s="326"/>
      <c r="E11" s="326"/>
      <c r="F11" s="105">
        <f>SUM(F5:F10)</f>
        <v>670543.7300000001</v>
      </c>
    </row>
    <row r="12" spans="1:6" s="101" customFormat="1" ht="15.75" customHeight="1">
      <c r="A12" s="97"/>
      <c r="B12" s="301"/>
      <c r="C12" s="326" t="s">
        <v>25</v>
      </c>
      <c r="D12" s="326"/>
      <c r="E12" s="326"/>
      <c r="F12" s="105">
        <f>F11*18%</f>
        <v>120697.87140000002</v>
      </c>
    </row>
    <row r="13" spans="1:6" s="101" customFormat="1" ht="15.75" customHeight="1">
      <c r="A13" s="97"/>
      <c r="B13" s="301"/>
      <c r="C13" s="326" t="s">
        <v>24</v>
      </c>
      <c r="D13" s="326"/>
      <c r="E13" s="326"/>
      <c r="F13" s="105">
        <f>SUM(F11:F12)</f>
        <v>791241.60140000016</v>
      </c>
    </row>
    <row r="14" spans="1:6" s="101" customFormat="1" ht="15.75">
      <c r="A14" s="97"/>
      <c r="B14" s="301"/>
      <c r="C14" s="326" t="s">
        <v>35</v>
      </c>
      <c r="D14" s="326"/>
      <c r="E14" s="326"/>
      <c r="F14" s="105">
        <f>ROUND(F13*0.01,2)</f>
        <v>7912.42</v>
      </c>
    </row>
    <row r="15" spans="1:6" s="101" customFormat="1" ht="15.75">
      <c r="A15" s="97"/>
      <c r="B15" s="102"/>
      <c r="C15" s="327" t="s">
        <v>96</v>
      </c>
      <c r="D15" s="327"/>
      <c r="E15" s="327"/>
      <c r="F15" s="105">
        <f>SUM(F13:F14)</f>
        <v>799154.0214000002</v>
      </c>
    </row>
    <row r="16" spans="1:6" s="101" customFormat="1" ht="22.5">
      <c r="A16" s="97"/>
      <c r="B16" s="102"/>
      <c r="C16" s="327" t="s">
        <v>27</v>
      </c>
      <c r="D16" s="327"/>
      <c r="E16" s="327"/>
      <c r="F16" s="111">
        <f>ROUND(F15,0)</f>
        <v>799154</v>
      </c>
    </row>
  </sheetData>
  <mergeCells count="9">
    <mergeCell ref="C14:E14"/>
    <mergeCell ref="C15:E15"/>
    <mergeCell ref="C16:E16"/>
    <mergeCell ref="A1:F1"/>
    <mergeCell ref="B2:E2"/>
    <mergeCell ref="A3:F3"/>
    <mergeCell ref="C11:E11"/>
    <mergeCell ref="C12:E12"/>
    <mergeCell ref="C13:E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2022-11-24T06:35:17Z</dcterms:created>
  <dcterms:modified xsi:type="dcterms:W3CDTF">2023-01-10T14:14:26Z</dcterms:modified>
</cp:coreProperties>
</file>