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firstSheet="2" activeTab="2"/>
  </bookViews>
  <sheets>
    <sheet name="Sheet1" sheetId="1" state="hidden" r:id="rId1"/>
    <sheet name="Sheet2" sheetId="2" state="hidden" r:id="rId2"/>
    <sheet name="boq" sheetId="3" r:id="rId3"/>
  </sheets>
  <definedNames>
    <definedName name="_xlnm.Print_Area" localSheetId="0">Sheet1!$A$2:$J$44</definedName>
  </definedNames>
  <calcPr calcId="124519"/>
</workbook>
</file>

<file path=xl/calcChain.xml><?xml version="1.0" encoding="utf-8"?>
<calcChain xmlns="http://schemas.openxmlformats.org/spreadsheetml/2006/main">
  <c r="F6" i="3"/>
  <c r="F7"/>
  <c r="F8"/>
  <c r="F9"/>
  <c r="F13"/>
  <c r="F6" i="1" l="1"/>
  <c r="F5"/>
  <c r="D6"/>
  <c r="E25"/>
  <c r="D11" l="1"/>
  <c r="D16" s="1"/>
  <c r="E11"/>
  <c r="E16" s="1"/>
  <c r="F16"/>
  <c r="G5"/>
  <c r="D10"/>
  <c r="D15" s="1"/>
  <c r="D20" s="1"/>
  <c r="E10"/>
  <c r="F15"/>
  <c r="F11" i="3"/>
  <c r="F12"/>
  <c r="F5"/>
  <c r="G6" i="1" l="1"/>
  <c r="E15"/>
  <c r="G15" s="1"/>
  <c r="E20"/>
  <c r="G20" s="1"/>
  <c r="D25"/>
  <c r="G25" s="1"/>
  <c r="G16"/>
  <c r="G11"/>
  <c r="G10"/>
  <c r="F14" i="3" l="1"/>
  <c r="G7" i="1"/>
  <c r="F15" i="3" l="1"/>
  <c r="F16"/>
  <c r="G8" i="1"/>
  <c r="J8" s="1"/>
  <c r="G21"/>
  <c r="G17"/>
  <c r="G12"/>
  <c r="G13" s="1"/>
  <c r="F17" i="3" l="1"/>
  <c r="F18"/>
  <c r="G26" i="1"/>
  <c r="G27" s="1"/>
  <c r="J27" s="1"/>
  <c r="G22"/>
  <c r="G18"/>
  <c r="C5" i="2" s="1"/>
  <c r="H5" s="1"/>
  <c r="H7" s="1"/>
  <c r="G31" i="1" s="1"/>
  <c r="J31" s="1"/>
  <c r="C3" i="2"/>
  <c r="I3" s="1"/>
  <c r="I7" s="1"/>
  <c r="G33" i="1" s="1"/>
  <c r="J33" s="1"/>
  <c r="J18" l="1"/>
  <c r="J22"/>
  <c r="C6" i="2"/>
  <c r="D6" s="1"/>
  <c r="D7" s="1"/>
  <c r="J13" i="1"/>
  <c r="C4" i="2"/>
  <c r="F6" l="1"/>
  <c r="G6" s="1"/>
  <c r="G7" s="1"/>
  <c r="G32" i="1" s="1"/>
  <c r="J32" s="1"/>
  <c r="E4" i="2"/>
  <c r="E6" s="1"/>
  <c r="E7" s="1"/>
  <c r="G30" i="1" s="1"/>
  <c r="J30" s="1"/>
  <c r="F7" i="2" l="1"/>
  <c r="G29" i="1" s="1"/>
  <c r="J29" s="1"/>
  <c r="J34" l="1"/>
  <c r="J35" s="1"/>
  <c r="J36" l="1"/>
  <c r="J37" l="1"/>
  <c r="J38" s="1"/>
</calcChain>
</file>

<file path=xl/sharedStrings.xml><?xml version="1.0" encoding="utf-8"?>
<sst xmlns="http://schemas.openxmlformats.org/spreadsheetml/2006/main" count="140" uniqueCount="80">
  <si>
    <t>RANCHI MUNICIPAL CORPORATION, RANCHI</t>
  </si>
  <si>
    <t>Sl. No.</t>
  </si>
  <si>
    <t>Items of work</t>
  </si>
  <si>
    <t>Nos</t>
  </si>
  <si>
    <t>Length</t>
  </si>
  <si>
    <t>Width</t>
  </si>
  <si>
    <t>Height/Depth</t>
  </si>
  <si>
    <t>Qnty.</t>
  </si>
  <si>
    <t>Unit</t>
  </si>
  <si>
    <t>Rate</t>
  </si>
  <si>
    <t>Amount</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</si>
  <si>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</si>
  <si>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cft</t>
  </si>
  <si>
    <t>Total</t>
  </si>
  <si>
    <t>or</t>
  </si>
  <si>
    <t>m3</t>
  </si>
  <si>
    <t>Supplying and laying (properly as per design and drawing) rip-rap with good  quality of boulders duly packed including the cost of materials, royalty all taxes etc. but excluding the cost of carriage all complete as per specification and direction of E/I.</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</si>
  <si>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</si>
  <si>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Carriage of Materials</t>
  </si>
  <si>
    <t>(i)</t>
  </si>
  <si>
    <t>(ii)</t>
  </si>
  <si>
    <t>(iii)</t>
  </si>
  <si>
    <t>(iv)</t>
  </si>
  <si>
    <t>Add 1% Labour Cess (+)</t>
  </si>
  <si>
    <t>G. Total</t>
  </si>
  <si>
    <t>Say</t>
  </si>
  <si>
    <t xml:space="preserve">                   J.E.                            A.E.                                   E.E.</t>
  </si>
  <si>
    <t>Material Statement</t>
  </si>
  <si>
    <t>Sl.No.</t>
  </si>
  <si>
    <t xml:space="preserve">Items of works </t>
  </si>
  <si>
    <t>Quantity</t>
  </si>
  <si>
    <t>Cement (m3)</t>
  </si>
  <si>
    <t>Sand(m3)</t>
  </si>
  <si>
    <t>Stone Chips (m3)</t>
  </si>
  <si>
    <t>Stone Boulder (m3)</t>
  </si>
  <si>
    <t>Earth (m3)</t>
  </si>
  <si>
    <t>Earth work in excavation</t>
  </si>
  <si>
    <t>Sand filling in foundation</t>
  </si>
  <si>
    <t>Boulder Soling</t>
  </si>
  <si>
    <t>P.C.C(1:1.5:3)</t>
  </si>
  <si>
    <t xml:space="preserve">                  J.E.                                                             A.E.                                               E.E.</t>
  </si>
  <si>
    <r>
      <t>M</t>
    </r>
    <r>
      <rPr>
        <vertAlign val="superscript"/>
        <sz val="10"/>
        <rFont val="Century"/>
        <family val="1"/>
      </rPr>
      <t>3</t>
    </r>
  </si>
  <si>
    <t>(v)</t>
  </si>
  <si>
    <t>Sand Local  (m3)</t>
  </si>
  <si>
    <t>4. 5.3.2.1</t>
  </si>
  <si>
    <t>Stone Chips (Lead 20 KM)</t>
  </si>
  <si>
    <t>5  5.3.17.1</t>
  </si>
  <si>
    <t xml:space="preserve">Centering and Shuttering including struting,propping etc and removal of from for                               </t>
  </si>
  <si>
    <t>Foundation, footing s bases of Coloumns etc for mass Concrete</t>
  </si>
  <si>
    <t>Sft</t>
  </si>
  <si>
    <t>M2</t>
  </si>
  <si>
    <t>BILL OF QUANTITY</t>
  </si>
  <si>
    <t>Flank:</t>
  </si>
  <si>
    <t>Road:</t>
  </si>
  <si>
    <t xml:space="preserve">1.            5.1.1 </t>
  </si>
  <si>
    <t>2.       Sl.No.4 M-004 P.No.36 BCD</t>
  </si>
  <si>
    <t>3.      5.6.8</t>
  </si>
  <si>
    <r>
      <t xml:space="preserve">Providing and Layng in Position cement concrete of specified grade excluding the cost of centring and shuttering……All work Upto plinth Level:                       </t>
    </r>
    <r>
      <rPr>
        <b/>
        <sz val="10"/>
        <color theme="1"/>
        <rFont val="Century"/>
        <family val="1"/>
      </rPr>
      <t>1:1.5:3 (1 Cement :1.5 Coarse Cement sand  (Zone III): 3 Graded stone agregate 20 mm nominal Size)</t>
    </r>
  </si>
  <si>
    <t>4. 5.3.1.1</t>
  </si>
  <si>
    <t>Add 18% GST (+)</t>
  </si>
  <si>
    <t>Stone Crusher Dust finer than 3 mm with not more than 10% Passing 0.075 sieve at quarry.        Baasic Rate  = 300.00                     add 15.95%(C.P+O.H+W.C.)=347.85</t>
  </si>
  <si>
    <r>
      <rPr>
        <b/>
        <sz val="11"/>
        <color theme="1"/>
        <rFont val="Century"/>
        <family val="1"/>
      </rPr>
      <t>Name of Work</t>
    </r>
    <r>
      <rPr>
        <sz val="11"/>
        <color theme="1"/>
        <rFont val="Century"/>
        <family val="1"/>
      </rPr>
      <t xml:space="preserve"> :- </t>
    </r>
  </si>
  <si>
    <t>Sand  (Lead Upto 42 km)</t>
  </si>
  <si>
    <t>Sand (Lead 18 KM)</t>
  </si>
  <si>
    <t>Stone Boulder (Lead 29  KM)</t>
  </si>
  <si>
    <t>Earth (Lead 15 KM)</t>
  </si>
  <si>
    <t>Labour for Cleaning the Work Site as Per Direction of E/I.</t>
  </si>
  <si>
    <t>Each</t>
  </si>
  <si>
    <t>Providing designation 75 B brick work in C.M.(1 :6) in foundation &amp; Plinth  with approved quality of clean coarse sand of F.M. 2 to2.5 including providing 10 mm thick mortar joints cost of screening materials , scafolding , raking out joints to 15mm depth curing, taxes and royalty all complete as per building specification and direction of E/l.</t>
  </si>
  <si>
    <t>3 5.2.6</t>
  </si>
  <si>
    <t>2 5.6.30</t>
  </si>
  <si>
    <t>Providing and laying  23mm thick Kotah stone tiles in risers of steps, skirting and pillars of approved size, taxture and colour and over 12mm thick cement mortar (1:3) and joined with grey cement slury mixed with pigment to match the shade of the slab including rubbing to granolithic finish with approved quality of carborandum stone including cost of curing, txes and royalty all complete as per building specifiction and direction of E/I.</t>
  </si>
  <si>
    <t>Sand  (Lead Upto 49 km)</t>
  </si>
  <si>
    <t>Brick  (Lead 08  KM)</t>
  </si>
  <si>
    <t>St.Chips (Lead 22 KM)</t>
  </si>
  <si>
    <t xml:space="preserve">Centering and Shuttering including struting,propping etc and removal of from for  Foundation, footing s bases of Coloumns etc for mass Concrete                             </t>
  </si>
  <si>
    <t>Add 18 % GST</t>
  </si>
  <si>
    <t>Add 1% L/Cess</t>
  </si>
  <si>
    <t>M3</t>
  </si>
  <si>
    <r>
      <rPr>
        <b/>
        <sz val="11"/>
        <color theme="1"/>
        <rFont val="Century"/>
        <family val="1"/>
      </rPr>
      <t>Name of Work</t>
    </r>
    <r>
      <rPr>
        <sz val="11"/>
        <color theme="1"/>
        <rFont val="Century"/>
        <family val="1"/>
      </rPr>
      <t xml:space="preserve"> :- REPAIR OF CHAT GHAT STEP AT BARA TALAB UNDER WARD NO 21.</t>
    </r>
  </si>
</sst>
</file>

<file path=xl/styles.xml><?xml version="1.0" encoding="utf-8"?>
<styleSheet xmlns="http://schemas.openxmlformats.org/spreadsheetml/2006/main">
  <numFmts count="1">
    <numFmt numFmtId="164" formatCode="0.0"/>
  </numFmts>
  <fonts count="23">
    <font>
      <sz val="11"/>
      <color theme="1"/>
      <name val="Calibri"/>
      <family val="2"/>
      <scheme val="minor"/>
    </font>
    <font>
      <b/>
      <sz val="11"/>
      <color theme="1"/>
      <name val="Calibri"/>
      <family val="2"/>
      <scheme val="minor"/>
    </font>
    <font>
      <sz val="10"/>
      <color theme="1"/>
      <name val="Century"/>
      <family val="1"/>
    </font>
    <font>
      <sz val="10"/>
      <color theme="1"/>
      <name val="Calibri"/>
      <family val="2"/>
      <scheme val="minor"/>
    </font>
    <font>
      <sz val="11"/>
      <color theme="1"/>
      <name val="Century"/>
      <family val="1"/>
    </font>
    <font>
      <b/>
      <sz val="11"/>
      <color theme="1"/>
      <name val="Century"/>
      <family val="1"/>
    </font>
    <font>
      <b/>
      <sz val="10"/>
      <color theme="1"/>
      <name val="Century"/>
      <family val="1"/>
    </font>
    <font>
      <b/>
      <sz val="12"/>
      <color theme="1"/>
      <name val="Century"/>
      <family val="1"/>
    </font>
    <font>
      <sz val="20"/>
      <color theme="1"/>
      <name val="Calibri"/>
      <family val="2"/>
      <scheme val="minor"/>
    </font>
    <font>
      <u/>
      <sz val="22"/>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sz val="14"/>
      <color theme="1"/>
      <name val="Calibri"/>
      <family val="2"/>
      <scheme val="minor"/>
    </font>
    <font>
      <sz val="10"/>
      <name val="Century"/>
      <family val="1"/>
    </font>
    <font>
      <vertAlign val="superscript"/>
      <sz val="10"/>
      <name val="Century"/>
      <family val="1"/>
    </font>
    <font>
      <sz val="12"/>
      <color theme="1"/>
      <name val="Century"/>
      <family val="1"/>
    </font>
    <font>
      <b/>
      <sz val="9"/>
      <color theme="1"/>
      <name val="Century"/>
      <family val="1"/>
    </font>
    <font>
      <sz val="10.5"/>
      <color theme="1"/>
      <name val="Century"/>
      <family val="1"/>
    </font>
    <font>
      <b/>
      <u/>
      <sz val="18"/>
      <color theme="1"/>
      <name val="Century"/>
      <family val="1"/>
    </font>
    <font>
      <b/>
      <sz val="18"/>
      <color theme="1"/>
      <name val="Century"/>
      <family val="1"/>
    </font>
    <font>
      <sz val="10"/>
      <name val="Arial"/>
      <family val="2"/>
    </font>
    <font>
      <b/>
      <sz val="10"/>
      <name val="Arial"/>
      <family val="2"/>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1" fillId="0" borderId="0"/>
  </cellStyleXfs>
  <cellXfs count="66">
    <xf numFmtId="0" fontId="0" fillId="0" borderId="0" xfId="0"/>
    <xf numFmtId="0" fontId="2" fillId="0" borderId="0" xfId="0" applyFont="1"/>
    <xf numFmtId="0" fontId="3" fillId="0" borderId="0" xfId="0" applyFont="1"/>
    <xf numFmtId="0" fontId="4"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top" wrapText="1"/>
    </xf>
    <xf numFmtId="2" fontId="6" fillId="0" borderId="1" xfId="0" applyNumberFormat="1" applyFont="1" applyBorder="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6" fillId="0" borderId="1" xfId="0" applyFont="1" applyBorder="1" applyAlignment="1">
      <alignment horizontal="center" vertical="center"/>
    </xf>
    <xf numFmtId="0" fontId="2" fillId="0" borderId="1" xfId="0" applyFont="1" applyBorder="1" applyAlignment="1">
      <alignment horizontal="right" vertical="top" wrapText="1"/>
    </xf>
    <xf numFmtId="0" fontId="6" fillId="0" borderId="1" xfId="0" applyFont="1" applyBorder="1" applyAlignment="1">
      <alignment horizontal="center" vertical="top"/>
    </xf>
    <xf numFmtId="2" fontId="6" fillId="0" borderId="1" xfId="0" applyNumberFormat="1" applyFont="1" applyBorder="1" applyAlignment="1">
      <alignment horizontal="center" vertical="top"/>
    </xf>
    <xf numFmtId="2" fontId="2" fillId="0" borderId="1" xfId="0" applyNumberFormat="1" applyFont="1" applyBorder="1" applyAlignment="1">
      <alignment horizontal="center" vertical="top"/>
    </xf>
    <xf numFmtId="0" fontId="2" fillId="0" borderId="1" xfId="0" applyFont="1" applyBorder="1" applyAlignment="1">
      <alignment horizontal="left" vertical="top" wrapText="1"/>
    </xf>
    <xf numFmtId="0" fontId="7" fillId="0" borderId="1" xfId="0" applyFont="1" applyBorder="1" applyAlignment="1">
      <alignment vertical="top"/>
    </xf>
    <xf numFmtId="0" fontId="2" fillId="0" borderId="1" xfId="0" applyFont="1" applyBorder="1" applyAlignment="1">
      <alignment vertical="top"/>
    </xf>
    <xf numFmtId="0" fontId="2" fillId="0" borderId="1" xfId="0" applyFont="1" applyBorder="1"/>
    <xf numFmtId="0" fontId="3" fillId="0" borderId="1" xfId="0" applyFont="1" applyBorder="1"/>
    <xf numFmtId="0" fontId="3" fillId="0" borderId="0" xfId="0" applyFont="1"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1" fontId="1" fillId="0" borderId="1" xfId="0" applyNumberFormat="1"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left" wrapText="1"/>
    </xf>
    <xf numFmtId="0" fontId="10" fillId="0" borderId="1" xfId="0" applyFont="1" applyBorder="1" applyAlignment="1">
      <alignment horizontal="center" vertical="top"/>
    </xf>
    <xf numFmtId="0" fontId="10" fillId="0" borderId="1" xfId="0" applyFont="1" applyFill="1" applyBorder="1" applyAlignment="1">
      <alignment horizontal="left" wrapText="1"/>
    </xf>
    <xf numFmtId="164" fontId="10" fillId="0" borderId="1" xfId="0" applyNumberFormat="1" applyFont="1" applyBorder="1" applyAlignment="1">
      <alignment horizontal="center"/>
    </xf>
    <xf numFmtId="0" fontId="12" fillId="0" borderId="1" xfId="0" applyFont="1" applyBorder="1" applyAlignment="1">
      <alignment horizontal="center"/>
    </xf>
    <xf numFmtId="2" fontId="2" fillId="0" borderId="1" xfId="0" applyNumberFormat="1" applyFont="1" applyBorder="1" applyAlignment="1">
      <alignment horizontal="center" vertical="top" wrapText="1"/>
    </xf>
    <xf numFmtId="0" fontId="14" fillId="0" borderId="1" xfId="0" applyFont="1" applyBorder="1" applyAlignment="1">
      <alignment horizontal="center"/>
    </xf>
    <xf numFmtId="0" fontId="2" fillId="0" borderId="1" xfId="0" applyFont="1" applyFill="1" applyBorder="1" applyAlignment="1">
      <alignment horizontal="center" vertical="top" wrapText="1"/>
    </xf>
    <xf numFmtId="0" fontId="1" fillId="0" borderId="1" xfId="0" applyFont="1" applyBorder="1" applyAlignment="1">
      <alignment horizontal="center"/>
    </xf>
    <xf numFmtId="0" fontId="6" fillId="0" borderId="1" xfId="0" applyFont="1" applyBorder="1" applyAlignment="1">
      <alignment horizontal="center" vertical="top" wrapText="1"/>
    </xf>
    <xf numFmtId="2" fontId="2" fillId="0" borderId="1" xfId="0" applyNumberFormat="1" applyFont="1" applyBorder="1" applyAlignment="1">
      <alignment horizontal="center" vertical="center"/>
    </xf>
    <xf numFmtId="0" fontId="14" fillId="0" borderId="1" xfId="0" applyFont="1" applyBorder="1" applyAlignment="1">
      <alignment horizontal="center" vertical="center"/>
    </xf>
    <xf numFmtId="2" fontId="17" fillId="0" borderId="1" xfId="0" applyNumberFormat="1" applyFont="1" applyBorder="1" applyAlignment="1"/>
    <xf numFmtId="2" fontId="3" fillId="0" borderId="0" xfId="0" applyNumberFormat="1" applyFont="1"/>
    <xf numFmtId="0" fontId="18" fillId="0" borderId="1" xfId="0" applyFont="1" applyBorder="1" applyAlignment="1">
      <alignment vertical="top" wrapText="1"/>
    </xf>
    <xf numFmtId="2" fontId="6" fillId="0" borderId="1" xfId="0" applyNumberFormat="1" applyFont="1" applyBorder="1" applyAlignment="1">
      <alignment horizontal="center" vertical="top" wrapText="1"/>
    </xf>
    <xf numFmtId="2" fontId="1" fillId="0" borderId="1" xfId="0" applyNumberFormat="1" applyFont="1" applyBorder="1" applyAlignment="1">
      <alignment horizontal="center"/>
    </xf>
    <xf numFmtId="0" fontId="22" fillId="0" borderId="1" xfId="1" applyFont="1" applyFill="1" applyBorder="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lignment horizontal="left" vertical="top" wrapText="1"/>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8" fillId="0" borderId="0" xfId="0" applyFont="1"/>
    <xf numFmtId="0" fontId="6" fillId="0" borderId="2" xfId="0" applyFont="1" applyBorder="1" applyAlignment="1">
      <alignment horizontal="right" vertical="top"/>
    </xf>
    <xf numFmtId="0" fontId="6" fillId="0" borderId="3" xfId="0" applyFont="1" applyBorder="1" applyAlignment="1">
      <alignment horizontal="right" vertical="top"/>
    </xf>
    <xf numFmtId="0" fontId="6" fillId="0" borderId="4" xfId="0" applyFont="1" applyBorder="1" applyAlignment="1">
      <alignment horizontal="right" vertical="top"/>
    </xf>
    <xf numFmtId="0" fontId="2" fillId="0" borderId="2" xfId="0" applyFont="1" applyBorder="1" applyAlignment="1">
      <alignment horizontal="right" vertical="top"/>
    </xf>
    <xf numFmtId="0" fontId="2" fillId="0" borderId="3" xfId="0" applyFont="1" applyBorder="1" applyAlignment="1">
      <alignment horizontal="right" vertical="top"/>
    </xf>
    <xf numFmtId="0" fontId="2" fillId="0" borderId="4" xfId="0" applyFont="1" applyBorder="1" applyAlignment="1">
      <alignment horizontal="right" vertical="top"/>
    </xf>
    <xf numFmtId="0" fontId="9" fillId="0" borderId="5" xfId="0" applyFont="1" applyBorder="1" applyAlignment="1">
      <alignment horizontal="center"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1" fillId="0" borderId="5" xfId="0" applyFont="1" applyBorder="1" applyAlignment="1">
      <alignment horizontal="right" vertical="center"/>
    </xf>
    <xf numFmtId="0" fontId="11" fillId="0" borderId="10" xfId="0" applyFont="1" applyBorder="1" applyAlignment="1">
      <alignment horizontal="right" vertical="center"/>
    </xf>
    <xf numFmtId="0" fontId="13" fillId="0" borderId="0" xfId="0" applyFont="1"/>
    <xf numFmtId="0" fontId="16" fillId="0" borderId="1" xfId="0" applyFont="1" applyBorder="1" applyAlignment="1">
      <alignment horizontal="center" wrapText="1"/>
    </xf>
    <xf numFmtId="0" fontId="16" fillId="2" borderId="1" xfId="0" applyFont="1" applyFill="1" applyBorder="1" applyAlignment="1">
      <alignment horizontal="center" wrapText="1"/>
    </xf>
  </cellXfs>
  <cellStyles count="2">
    <cellStyle name="Normal" xfId="0" builtinId="0"/>
    <cellStyle name="Normal 2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51"/>
  <sheetViews>
    <sheetView topLeftCell="A25" workbookViewId="0">
      <selection activeCell="B34" sqref="B34:J38"/>
    </sheetView>
  </sheetViews>
  <sheetFormatPr defaultRowHeight="63.75" customHeight="1"/>
  <cols>
    <col min="1" max="1" width="6.140625" style="2" customWidth="1"/>
    <col min="2" max="2" width="30.42578125" style="2" customWidth="1"/>
    <col min="3" max="3" width="5.28515625" style="2" customWidth="1"/>
    <col min="4" max="4" width="8.140625" style="2" customWidth="1"/>
    <col min="5" max="5" width="6.5703125" style="2" customWidth="1"/>
    <col min="6" max="6" width="7.140625" style="2" customWidth="1"/>
    <col min="7" max="7" width="8.5703125" style="2" bestFit="1" customWidth="1"/>
    <col min="8" max="8" width="5.28515625" style="2" customWidth="1"/>
    <col min="9" max="9" width="8.28515625" style="2" customWidth="1"/>
    <col min="10" max="10" width="13.140625" style="2" customWidth="1"/>
    <col min="11" max="16384" width="9.140625" style="2"/>
  </cols>
  <sheetData>
    <row r="1" spans="1:11" ht="27.75" customHeight="1">
      <c r="B1" s="43" t="s">
        <v>0</v>
      </c>
      <c r="C1" s="44"/>
      <c r="D1" s="44"/>
      <c r="E1" s="44"/>
      <c r="F1" s="44"/>
      <c r="G1" s="44"/>
      <c r="H1" s="44"/>
      <c r="I1" s="44"/>
      <c r="J1" s="44"/>
    </row>
    <row r="2" spans="1:11" ht="31.5" customHeight="1">
      <c r="A2" s="18"/>
      <c r="B2" s="45" t="s">
        <v>61</v>
      </c>
      <c r="C2" s="45"/>
      <c r="D2" s="45"/>
      <c r="E2" s="45"/>
      <c r="F2" s="45"/>
      <c r="G2" s="45"/>
      <c r="H2" s="45"/>
      <c r="I2" s="45"/>
      <c r="J2" s="45"/>
      <c r="K2" s="3"/>
    </row>
    <row r="3" spans="1:11" ht="30" customHeight="1">
      <c r="A3" s="4" t="s">
        <v>1</v>
      </c>
      <c r="B3" s="4" t="s">
        <v>2</v>
      </c>
      <c r="C3" s="4" t="s">
        <v>3</v>
      </c>
      <c r="D3" s="4" t="s">
        <v>4</v>
      </c>
      <c r="E3" s="4" t="s">
        <v>5</v>
      </c>
      <c r="F3" s="4" t="s">
        <v>6</v>
      </c>
      <c r="G3" s="4" t="s">
        <v>7</v>
      </c>
      <c r="H3" s="4" t="s">
        <v>8</v>
      </c>
      <c r="I3" s="4" t="s">
        <v>9</v>
      </c>
      <c r="J3" s="5" t="s">
        <v>10</v>
      </c>
      <c r="K3" s="1"/>
    </row>
    <row r="4" spans="1:11" ht="193.5" customHeight="1">
      <c r="A4" s="4" t="s">
        <v>54</v>
      </c>
      <c r="B4" s="6" t="s">
        <v>11</v>
      </c>
      <c r="C4" s="8"/>
      <c r="D4" s="8"/>
      <c r="E4" s="8"/>
      <c r="F4" s="8"/>
      <c r="G4" s="9"/>
      <c r="H4" s="9"/>
      <c r="I4" s="9"/>
      <c r="J4" s="10"/>
      <c r="K4" s="1"/>
    </row>
    <row r="5" spans="1:11" ht="12.75">
      <c r="A5" s="4"/>
      <c r="B5" s="11" t="s">
        <v>53</v>
      </c>
      <c r="C5" s="8">
        <v>1</v>
      </c>
      <c r="D5" s="8">
        <v>200</v>
      </c>
      <c r="E5" s="8">
        <v>10</v>
      </c>
      <c r="F5" s="8">
        <f>8/12</f>
        <v>0.66666666666666663</v>
      </c>
      <c r="G5" s="9">
        <f>ROUND(F5*E5*D5*C5,2)</f>
        <v>1333.33</v>
      </c>
      <c r="H5" s="9" t="s">
        <v>12</v>
      </c>
      <c r="I5" s="9"/>
      <c r="J5" s="10"/>
      <c r="K5" s="1"/>
    </row>
    <row r="6" spans="1:11" ht="12.75">
      <c r="A6" s="4"/>
      <c r="B6" s="11" t="s">
        <v>52</v>
      </c>
      <c r="C6" s="8">
        <v>2</v>
      </c>
      <c r="D6" s="8">
        <f>D5</f>
        <v>200</v>
      </c>
      <c r="E6" s="8">
        <v>1.5</v>
      </c>
      <c r="F6" s="8">
        <f>4/12</f>
        <v>0.33333333333333331</v>
      </c>
      <c r="G6" s="9">
        <f>ROUND(F6*E6*D6*C6,2)</f>
        <v>200</v>
      </c>
      <c r="H6" s="9" t="s">
        <v>12</v>
      </c>
      <c r="I6" s="9"/>
      <c r="J6" s="10"/>
      <c r="K6" s="1"/>
    </row>
    <row r="7" spans="1:11" ht="18.75" customHeight="1">
      <c r="A7" s="4"/>
      <c r="C7" s="8"/>
      <c r="D7" s="8"/>
      <c r="E7" s="8"/>
      <c r="F7" s="8" t="s">
        <v>13</v>
      </c>
      <c r="G7" s="14">
        <f>SUM(G5:G6)</f>
        <v>1533.33</v>
      </c>
      <c r="H7" s="9" t="s">
        <v>12</v>
      </c>
      <c r="I7" s="9"/>
      <c r="J7" s="10"/>
      <c r="K7" s="1"/>
    </row>
    <row r="8" spans="1:11" ht="19.5" customHeight="1">
      <c r="A8" s="4"/>
      <c r="B8" s="6"/>
      <c r="C8" s="8"/>
      <c r="D8" s="8"/>
      <c r="E8" s="8"/>
      <c r="F8" s="8" t="s">
        <v>14</v>
      </c>
      <c r="G8" s="12">
        <f>ROUNDUP(G7/35.31,2)</f>
        <v>43.43</v>
      </c>
      <c r="H8" s="9" t="s">
        <v>15</v>
      </c>
      <c r="I8" s="9">
        <v>151.82</v>
      </c>
      <c r="J8" s="13">
        <f>ROUND(G8*I8,0)</f>
        <v>6594</v>
      </c>
      <c r="K8" s="1"/>
    </row>
    <row r="9" spans="1:11" ht="117" customHeight="1">
      <c r="A9" s="4" t="s">
        <v>55</v>
      </c>
      <c r="B9" s="39" t="s">
        <v>60</v>
      </c>
      <c r="C9" s="8"/>
      <c r="D9" s="8"/>
      <c r="E9" s="8"/>
      <c r="F9" s="8"/>
      <c r="G9" s="9"/>
      <c r="H9" s="9"/>
      <c r="I9" s="9"/>
      <c r="J9" s="10"/>
      <c r="K9" s="1"/>
    </row>
    <row r="10" spans="1:11" ht="23.25" customHeight="1">
      <c r="A10" s="4"/>
      <c r="B10" s="11" t="s">
        <v>53</v>
      </c>
      <c r="C10" s="8">
        <v>1</v>
      </c>
      <c r="D10" s="8">
        <f t="shared" ref="D10:E11" si="0">D5</f>
        <v>200</v>
      </c>
      <c r="E10" s="8">
        <f t="shared" si="0"/>
        <v>10</v>
      </c>
      <c r="F10" s="8">
        <v>0.25</v>
      </c>
      <c r="G10" s="9">
        <f>PRODUCT(C10:F10)</f>
        <v>500</v>
      </c>
      <c r="H10" s="9" t="s">
        <v>12</v>
      </c>
      <c r="I10" s="9"/>
      <c r="J10" s="10"/>
      <c r="K10" s="1"/>
    </row>
    <row r="11" spans="1:11" ht="23.25" customHeight="1">
      <c r="A11" s="4"/>
      <c r="B11" s="11" t="s">
        <v>52</v>
      </c>
      <c r="C11" s="8">
        <v>2</v>
      </c>
      <c r="D11" s="8">
        <f t="shared" si="0"/>
        <v>200</v>
      </c>
      <c r="E11" s="8">
        <f t="shared" si="0"/>
        <v>1.5</v>
      </c>
      <c r="F11" s="8">
        <v>0.25</v>
      </c>
      <c r="G11" s="9">
        <f>PRODUCT(C11:F11)</f>
        <v>150</v>
      </c>
      <c r="H11" s="9" t="s">
        <v>12</v>
      </c>
      <c r="I11" s="9"/>
      <c r="J11" s="10"/>
      <c r="K11" s="1"/>
    </row>
    <row r="12" spans="1:11" ht="16.5" customHeight="1">
      <c r="A12" s="4"/>
      <c r="B12" s="6"/>
      <c r="C12" s="8"/>
      <c r="D12" s="8"/>
      <c r="E12" s="8"/>
      <c r="F12" s="8" t="s">
        <v>13</v>
      </c>
      <c r="G12" s="9">
        <f>SUM(G10:G11)</f>
        <v>650</v>
      </c>
      <c r="H12" s="9" t="s">
        <v>12</v>
      </c>
      <c r="I12" s="9"/>
      <c r="J12" s="10"/>
      <c r="K12" s="1"/>
    </row>
    <row r="13" spans="1:11" ht="16.5" customHeight="1">
      <c r="A13" s="4"/>
      <c r="B13" s="6"/>
      <c r="C13" s="8"/>
      <c r="D13" s="8"/>
      <c r="E13" s="8"/>
      <c r="F13" s="8" t="s">
        <v>14</v>
      </c>
      <c r="G13" s="12">
        <f>ROUNDUP(G12/35.31,2)</f>
        <v>18.41</v>
      </c>
      <c r="H13" s="9" t="s">
        <v>15</v>
      </c>
      <c r="I13" s="34">
        <v>347.85</v>
      </c>
      <c r="J13" s="13">
        <f>ROUND(G13*I13,0)</f>
        <v>6404</v>
      </c>
      <c r="K13" s="1"/>
    </row>
    <row r="14" spans="1:11" ht="108" customHeight="1">
      <c r="A14" s="4" t="s">
        <v>56</v>
      </c>
      <c r="B14" s="6" t="s">
        <v>16</v>
      </c>
      <c r="C14" s="8"/>
      <c r="D14" s="8"/>
      <c r="E14" s="8"/>
      <c r="F14" s="8"/>
      <c r="G14" s="9"/>
      <c r="H14" s="9"/>
      <c r="I14" s="9"/>
      <c r="J14" s="10"/>
      <c r="K14" s="1"/>
    </row>
    <row r="15" spans="1:11" ht="23.25" customHeight="1">
      <c r="A15" s="4"/>
      <c r="B15" s="11" t="s">
        <v>53</v>
      </c>
      <c r="C15" s="8">
        <v>1</v>
      </c>
      <c r="D15" s="8">
        <f t="shared" ref="D15:E16" si="1">D10</f>
        <v>200</v>
      </c>
      <c r="E15" s="8">
        <f t="shared" si="1"/>
        <v>10</v>
      </c>
      <c r="F15" s="30">
        <f>5/12</f>
        <v>0.41666666666666669</v>
      </c>
      <c r="G15" s="14">
        <f>PRODUCT(C15:F15)</f>
        <v>833.33333333333337</v>
      </c>
      <c r="H15" s="9" t="s">
        <v>12</v>
      </c>
      <c r="I15" s="9"/>
      <c r="J15" s="10"/>
      <c r="K15" s="1"/>
    </row>
    <row r="16" spans="1:11" ht="23.25" customHeight="1">
      <c r="A16" s="4"/>
      <c r="B16" s="11" t="s">
        <v>52</v>
      </c>
      <c r="C16" s="8">
        <v>2</v>
      </c>
      <c r="D16" s="8">
        <f t="shared" si="1"/>
        <v>200</v>
      </c>
      <c r="E16" s="8">
        <f t="shared" si="1"/>
        <v>1.5</v>
      </c>
      <c r="F16" s="30">
        <f>5/12</f>
        <v>0.41666666666666669</v>
      </c>
      <c r="G16" s="14">
        <f>PRODUCT(C16:F16)</f>
        <v>250</v>
      </c>
      <c r="H16" s="9" t="s">
        <v>12</v>
      </c>
      <c r="I16" s="9"/>
      <c r="J16" s="10"/>
      <c r="K16" s="1"/>
    </row>
    <row r="17" spans="1:11" ht="19.5" customHeight="1">
      <c r="A17" s="4"/>
      <c r="B17" s="6"/>
      <c r="C17" s="8"/>
      <c r="D17" s="8"/>
      <c r="E17" s="8"/>
      <c r="F17" s="8" t="s">
        <v>13</v>
      </c>
      <c r="G17" s="14">
        <f>SUM(G15:G16)</f>
        <v>1083.3333333333335</v>
      </c>
      <c r="H17" s="9" t="s">
        <v>12</v>
      </c>
      <c r="I17" s="9"/>
      <c r="J17" s="10"/>
      <c r="K17" s="1"/>
    </row>
    <row r="18" spans="1:11" ht="15.75" customHeight="1">
      <c r="A18" s="4"/>
      <c r="B18" s="6"/>
      <c r="C18" s="8"/>
      <c r="D18" s="8"/>
      <c r="E18" s="8"/>
      <c r="F18" s="8" t="s">
        <v>14</v>
      </c>
      <c r="G18" s="13">
        <f>ROUNDUP(G17/35.31,2)</f>
        <v>30.69</v>
      </c>
      <c r="H18" s="9" t="s">
        <v>15</v>
      </c>
      <c r="I18" s="40">
        <v>1756.4</v>
      </c>
      <c r="J18" s="13">
        <f>ROUND(G18*I18,0)</f>
        <v>53904</v>
      </c>
      <c r="K18" s="1"/>
    </row>
    <row r="19" spans="1:11" ht="114.75">
      <c r="A19" s="4" t="s">
        <v>58</v>
      </c>
      <c r="B19" s="6" t="s">
        <v>57</v>
      </c>
      <c r="C19" s="8"/>
      <c r="D19" s="8"/>
      <c r="E19" s="8"/>
      <c r="F19" s="8"/>
      <c r="G19" s="9"/>
      <c r="H19" s="9"/>
      <c r="I19" s="9"/>
      <c r="J19" s="10"/>
      <c r="K19" s="1"/>
    </row>
    <row r="20" spans="1:11" ht="19.5" customHeight="1">
      <c r="A20" s="4"/>
      <c r="B20" s="11"/>
      <c r="C20" s="8">
        <v>1</v>
      </c>
      <c r="D20" s="8">
        <f>D15</f>
        <v>200</v>
      </c>
      <c r="E20" s="8">
        <f>E10</f>
        <v>10</v>
      </c>
      <c r="F20" s="8">
        <v>0.5</v>
      </c>
      <c r="G20" s="14">
        <f t="shared" ref="G20" si="2">PRODUCT(C20:F20)</f>
        <v>1000</v>
      </c>
      <c r="H20" s="9" t="s">
        <v>12</v>
      </c>
      <c r="I20" s="9"/>
      <c r="J20" s="10"/>
      <c r="K20" s="1"/>
    </row>
    <row r="21" spans="1:11" ht="18" customHeight="1">
      <c r="A21" s="4"/>
      <c r="B21" s="11"/>
      <c r="C21" s="8"/>
      <c r="D21" s="8"/>
      <c r="E21" s="8"/>
      <c r="F21" s="8" t="s">
        <v>13</v>
      </c>
      <c r="G21" s="14">
        <f>SUM(G20:G20)</f>
        <v>1000</v>
      </c>
      <c r="H21" s="9" t="s">
        <v>12</v>
      </c>
      <c r="I21" s="9"/>
      <c r="J21" s="10"/>
      <c r="K21" s="1"/>
    </row>
    <row r="22" spans="1:11" ht="21" customHeight="1">
      <c r="A22" s="4"/>
      <c r="B22" s="6"/>
      <c r="C22" s="8"/>
      <c r="D22" s="8"/>
      <c r="E22" s="8"/>
      <c r="F22" s="8" t="s">
        <v>14</v>
      </c>
      <c r="G22" s="13">
        <f>ROUNDUP(G21/35.31,2)</f>
        <v>28.330000000000002</v>
      </c>
      <c r="H22" s="9" t="s">
        <v>15</v>
      </c>
      <c r="I22" s="14">
        <v>4961.7299999999996</v>
      </c>
      <c r="J22" s="13">
        <f>ROUND(G22*I22,0)</f>
        <v>140566</v>
      </c>
      <c r="K22" s="1"/>
    </row>
    <row r="23" spans="1:11" ht="38.25">
      <c r="A23" s="4" t="s">
        <v>46</v>
      </c>
      <c r="B23" s="6" t="s">
        <v>47</v>
      </c>
      <c r="C23" s="8"/>
      <c r="D23" s="8"/>
      <c r="E23" s="8"/>
      <c r="F23" s="8"/>
      <c r="G23" s="13"/>
      <c r="H23" s="9"/>
      <c r="I23" s="14"/>
      <c r="J23" s="13"/>
      <c r="K23" s="1"/>
    </row>
    <row r="24" spans="1:11" ht="25.5">
      <c r="A24" s="4"/>
      <c r="B24" s="6" t="s">
        <v>48</v>
      </c>
      <c r="C24" s="8"/>
      <c r="D24" s="8"/>
      <c r="E24" s="8"/>
      <c r="F24" s="8"/>
      <c r="G24" s="14"/>
      <c r="H24" s="9"/>
      <c r="I24" s="14"/>
      <c r="J24" s="13"/>
      <c r="K24" s="1"/>
    </row>
    <row r="25" spans="1:11" ht="12.75">
      <c r="A25" s="4"/>
      <c r="B25" s="6"/>
      <c r="C25" s="8">
        <v>2</v>
      </c>
      <c r="D25" s="8">
        <f>D20</f>
        <v>200</v>
      </c>
      <c r="E25" s="8">
        <f>F20</f>
        <v>0.5</v>
      </c>
      <c r="F25" s="8"/>
      <c r="G25" s="14">
        <f t="shared" ref="G25" si="3">ROUND(E25*D25*C25,2)</f>
        <v>200</v>
      </c>
      <c r="H25" s="9" t="s">
        <v>49</v>
      </c>
      <c r="I25" s="14"/>
      <c r="J25" s="13"/>
      <c r="K25" s="1"/>
    </row>
    <row r="26" spans="1:11" ht="12.75">
      <c r="A26" s="4"/>
      <c r="B26" s="6"/>
      <c r="C26" s="8"/>
      <c r="D26" s="8"/>
      <c r="E26" s="8"/>
      <c r="F26" s="8" t="s">
        <v>13</v>
      </c>
      <c r="G26" s="14">
        <f>SUM(G24:G25)</f>
        <v>200</v>
      </c>
      <c r="H26" s="9" t="s">
        <v>49</v>
      </c>
      <c r="I26" s="14"/>
      <c r="J26" s="13"/>
      <c r="K26" s="1"/>
    </row>
    <row r="27" spans="1:11" ht="21" customHeight="1">
      <c r="A27" s="4"/>
      <c r="B27" s="6"/>
      <c r="C27" s="8"/>
      <c r="D27" s="8"/>
      <c r="E27" s="8"/>
      <c r="F27" s="8" t="s">
        <v>14</v>
      </c>
      <c r="G27" s="13">
        <f>ROUNDUP(G26/10.76,2)</f>
        <v>18.59</v>
      </c>
      <c r="H27" s="9" t="s">
        <v>50</v>
      </c>
      <c r="I27" s="14">
        <v>194.5</v>
      </c>
      <c r="J27" s="13">
        <f>ROUND(G27*I27,0)</f>
        <v>3616</v>
      </c>
      <c r="K27" s="1"/>
    </row>
    <row r="28" spans="1:11" ht="15.75" customHeight="1">
      <c r="A28" s="4">
        <v>6</v>
      </c>
      <c r="B28" s="16" t="s">
        <v>18</v>
      </c>
      <c r="C28" s="17"/>
      <c r="D28" s="17"/>
      <c r="E28" s="17"/>
      <c r="F28" s="17"/>
      <c r="G28" s="17"/>
      <c r="H28" s="17"/>
      <c r="I28" s="17"/>
      <c r="J28" s="12"/>
      <c r="K28" s="1"/>
    </row>
    <row r="29" spans="1:11" ht="17.25" customHeight="1">
      <c r="A29" s="32" t="s">
        <v>19</v>
      </c>
      <c r="B29" s="15" t="s">
        <v>62</v>
      </c>
      <c r="C29" s="17"/>
      <c r="D29" s="17"/>
      <c r="E29" s="17"/>
      <c r="F29" s="17"/>
      <c r="G29" s="17">
        <f>Sheet2!F7</f>
        <v>12.17</v>
      </c>
      <c r="H29" s="31" t="s">
        <v>41</v>
      </c>
      <c r="I29" s="33">
        <v>744.66</v>
      </c>
      <c r="J29" s="13">
        <f>ROUND(G29*I29,0)</f>
        <v>9063</v>
      </c>
      <c r="K29" s="1"/>
    </row>
    <row r="30" spans="1:11" ht="17.25" customHeight="1">
      <c r="A30" s="8" t="s">
        <v>20</v>
      </c>
      <c r="B30" s="15" t="s">
        <v>63</v>
      </c>
      <c r="C30" s="17"/>
      <c r="D30" s="17"/>
      <c r="E30" s="17"/>
      <c r="F30" s="17"/>
      <c r="G30" s="17">
        <f>Sheet2!E7</f>
        <v>18.41</v>
      </c>
      <c r="H30" s="31" t="s">
        <v>41</v>
      </c>
      <c r="I30" s="41">
        <v>387.54</v>
      </c>
      <c r="J30" s="13">
        <f>I30*G30</f>
        <v>7134.6114000000007</v>
      </c>
      <c r="K30" s="1"/>
    </row>
    <row r="31" spans="1:11" ht="21" customHeight="1">
      <c r="A31" s="8" t="s">
        <v>21</v>
      </c>
      <c r="B31" s="15" t="s">
        <v>64</v>
      </c>
      <c r="C31" s="17"/>
      <c r="D31" s="17"/>
      <c r="E31" s="17"/>
      <c r="F31" s="17"/>
      <c r="G31" s="17">
        <f>Sheet2!H7</f>
        <v>30.69</v>
      </c>
      <c r="H31" s="31" t="s">
        <v>41</v>
      </c>
      <c r="I31" s="41">
        <v>570.94000000000005</v>
      </c>
      <c r="J31" s="13">
        <f>ROUNDUP(G31*I31,0)</f>
        <v>17523</v>
      </c>
      <c r="K31" s="1"/>
    </row>
    <row r="32" spans="1:11" ht="22.5" customHeight="1">
      <c r="A32" s="8" t="s">
        <v>22</v>
      </c>
      <c r="B32" s="15" t="s">
        <v>45</v>
      </c>
      <c r="C32" s="17"/>
      <c r="D32" s="17"/>
      <c r="E32" s="17"/>
      <c r="F32" s="17"/>
      <c r="G32" s="17">
        <f>Sheet2!G7</f>
        <v>24.34</v>
      </c>
      <c r="H32" s="31" t="s">
        <v>41</v>
      </c>
      <c r="I32" s="41">
        <v>342.9</v>
      </c>
      <c r="J32" s="13">
        <f>ROUNDUP(G32*I32,0)</f>
        <v>8347</v>
      </c>
      <c r="K32" s="1"/>
    </row>
    <row r="33" spans="1:10" ht="23.25" customHeight="1">
      <c r="A33" s="8" t="s">
        <v>42</v>
      </c>
      <c r="B33" s="15" t="s">
        <v>65</v>
      </c>
      <c r="C33" s="17"/>
      <c r="D33" s="17"/>
      <c r="E33" s="17"/>
      <c r="F33" s="17"/>
      <c r="G33" s="17">
        <f>Sheet2!I7</f>
        <v>43.43</v>
      </c>
      <c r="H33" s="31" t="s">
        <v>41</v>
      </c>
      <c r="I33" s="33">
        <v>117.54</v>
      </c>
      <c r="J33" s="13">
        <f>ROUNDUP(G33*I33,0)</f>
        <v>5105</v>
      </c>
    </row>
    <row r="34" spans="1:10" ht="22.5" customHeight="1">
      <c r="A34" s="18"/>
      <c r="B34" s="50" t="s">
        <v>13</v>
      </c>
      <c r="C34" s="51"/>
      <c r="D34" s="51"/>
      <c r="E34" s="51"/>
      <c r="F34" s="51"/>
      <c r="G34" s="51"/>
      <c r="H34" s="51"/>
      <c r="I34" s="52"/>
      <c r="J34" s="13">
        <f>SUM(J4:J33)</f>
        <v>258256.61139999999</v>
      </c>
    </row>
    <row r="35" spans="1:10" ht="22.5" customHeight="1">
      <c r="A35" s="18"/>
      <c r="B35" s="53" t="s">
        <v>59</v>
      </c>
      <c r="C35" s="54"/>
      <c r="D35" s="54"/>
      <c r="E35" s="54"/>
      <c r="F35" s="54"/>
      <c r="G35" s="54"/>
      <c r="H35" s="54"/>
      <c r="I35" s="55"/>
      <c r="J35" s="13">
        <f>J34*18%</f>
        <v>46486.190051999998</v>
      </c>
    </row>
    <row r="36" spans="1:10" ht="22.5" customHeight="1">
      <c r="A36" s="18"/>
      <c r="B36" s="50" t="s">
        <v>24</v>
      </c>
      <c r="C36" s="51"/>
      <c r="D36" s="51"/>
      <c r="E36" s="51"/>
      <c r="F36" s="51"/>
      <c r="G36" s="51"/>
      <c r="H36" s="51"/>
      <c r="I36" s="52"/>
      <c r="J36" s="13">
        <f>SUM(J34:J35)</f>
        <v>304742.80145199999</v>
      </c>
    </row>
    <row r="37" spans="1:10" ht="23.25" customHeight="1">
      <c r="A37" s="18"/>
      <c r="B37" s="53" t="s">
        <v>23</v>
      </c>
      <c r="C37" s="54"/>
      <c r="D37" s="54"/>
      <c r="E37" s="54"/>
      <c r="F37" s="54"/>
      <c r="G37" s="54"/>
      <c r="H37" s="54"/>
      <c r="I37" s="55"/>
      <c r="J37" s="13">
        <f>ROUND(J36*1/100,0)</f>
        <v>3047</v>
      </c>
    </row>
    <row r="38" spans="1:10" ht="28.5" customHeight="1">
      <c r="A38" s="18"/>
      <c r="B38" s="50" t="s">
        <v>24</v>
      </c>
      <c r="C38" s="51"/>
      <c r="D38" s="51"/>
      <c r="E38" s="51"/>
      <c r="F38" s="51"/>
      <c r="G38" s="51"/>
      <c r="H38" s="51"/>
      <c r="I38" s="52"/>
      <c r="J38" s="13">
        <f>SUM(J36:J37)</f>
        <v>307789.80145199999</v>
      </c>
    </row>
    <row r="39" spans="1:10" ht="27.75" customHeight="1">
      <c r="A39" s="19"/>
      <c r="B39" s="46" t="s">
        <v>25</v>
      </c>
      <c r="C39" s="47"/>
      <c r="D39" s="47"/>
      <c r="E39" s="47"/>
      <c r="F39" s="47"/>
      <c r="G39" s="47"/>
      <c r="H39" s="47"/>
      <c r="I39" s="48"/>
      <c r="J39" s="7">
        <v>307800</v>
      </c>
    </row>
    <row r="40" spans="1:10" ht="27.75" customHeight="1">
      <c r="J40" s="37"/>
    </row>
    <row r="41" spans="1:10" ht="26.25" customHeight="1">
      <c r="G41" s="20"/>
      <c r="J41" s="38"/>
    </row>
    <row r="42" spans="1:10" ht="12.75"/>
    <row r="43" spans="1:10" ht="12.75"/>
    <row r="44" spans="1:10" ht="26.25">
      <c r="A44" s="49" t="s">
        <v>26</v>
      </c>
      <c r="B44" s="49"/>
      <c r="C44" s="49"/>
      <c r="D44" s="49"/>
      <c r="E44" s="49"/>
      <c r="F44" s="49"/>
      <c r="G44" s="49"/>
      <c r="H44" s="49"/>
      <c r="I44" s="49"/>
      <c r="J44" s="49"/>
    </row>
    <row r="45" spans="1:10" ht="12.75"/>
    <row r="46" spans="1:10" ht="26.25">
      <c r="A46" s="49"/>
      <c r="B46" s="49"/>
      <c r="C46" s="49"/>
      <c r="D46" s="49"/>
      <c r="E46" s="49"/>
      <c r="F46" s="49"/>
      <c r="G46" s="49"/>
      <c r="H46" s="49"/>
      <c r="I46" s="49"/>
      <c r="J46" s="49"/>
    </row>
    <row r="47" spans="1:10" ht="12.75"/>
    <row r="48" spans="1:10" ht="12.75"/>
    <row r="49" ht="12.75"/>
    <row r="50" ht="12.75"/>
    <row r="51" ht="12.75"/>
  </sheetData>
  <mergeCells count="10">
    <mergeCell ref="B1:J1"/>
    <mergeCell ref="B2:J2"/>
    <mergeCell ref="B39:I39"/>
    <mergeCell ref="A44:J44"/>
    <mergeCell ref="A46:J46"/>
    <mergeCell ref="B34:I34"/>
    <mergeCell ref="B37:I37"/>
    <mergeCell ref="B38:I38"/>
    <mergeCell ref="B35:I35"/>
    <mergeCell ref="B36:I36"/>
  </mergeCells>
  <pageMargins left="0.7" right="0.19" top="0.12" bottom="0.54" header="0.12" footer="0.54"/>
  <pageSetup paperSize="9" scale="82" orientation="portrait" r:id="rId1"/>
  <rowBreaks count="2" manualBreakCount="2">
    <brk id="27" max="9" man="1"/>
    <brk id="44" max="16383" man="1"/>
  </rowBreaks>
</worksheet>
</file>

<file path=xl/worksheets/sheet2.xml><?xml version="1.0" encoding="utf-8"?>
<worksheet xmlns="http://schemas.openxmlformats.org/spreadsheetml/2006/main" xmlns:r="http://schemas.openxmlformats.org/officeDocument/2006/relationships">
  <dimension ref="A1:I11"/>
  <sheetViews>
    <sheetView workbookViewId="0">
      <selection activeCell="B34" sqref="B34:J38"/>
    </sheetView>
  </sheetViews>
  <sheetFormatPr defaultRowHeight="15"/>
  <cols>
    <col min="2" max="2" width="15.140625" customWidth="1"/>
    <col min="4" max="5" width="9.85546875" customWidth="1"/>
    <col min="6" max="6" width="12" customWidth="1"/>
    <col min="7" max="7" width="9.85546875" customWidth="1"/>
    <col min="8" max="8" width="10.28515625" customWidth="1"/>
    <col min="9" max="9" width="10.140625" customWidth="1"/>
  </cols>
  <sheetData>
    <row r="1" spans="1:9" ht="28.5">
      <c r="A1" s="56" t="s">
        <v>27</v>
      </c>
      <c r="B1" s="56"/>
      <c r="C1" s="56"/>
      <c r="D1" s="56"/>
      <c r="E1" s="56"/>
      <c r="F1" s="56"/>
      <c r="G1" s="56"/>
      <c r="H1" s="56"/>
      <c r="I1" s="56"/>
    </row>
    <row r="2" spans="1:9" ht="51" customHeight="1">
      <c r="A2" s="21" t="s">
        <v>28</v>
      </c>
      <c r="B2" s="21" t="s">
        <v>29</v>
      </c>
      <c r="C2" s="22" t="s">
        <v>30</v>
      </c>
      <c r="D2" s="23" t="s">
        <v>31</v>
      </c>
      <c r="E2" s="23" t="s">
        <v>43</v>
      </c>
      <c r="F2" s="21" t="s">
        <v>32</v>
      </c>
      <c r="G2" s="21" t="s">
        <v>33</v>
      </c>
      <c r="H2" s="21" t="s">
        <v>34</v>
      </c>
      <c r="I2" s="21" t="s">
        <v>35</v>
      </c>
    </row>
    <row r="3" spans="1:9" ht="39" customHeight="1">
      <c r="A3" s="24">
        <v>1</v>
      </c>
      <c r="B3" s="25" t="s">
        <v>36</v>
      </c>
      <c r="C3" s="26">
        <f>Sheet1!G8</f>
        <v>43.43</v>
      </c>
      <c r="D3" s="24"/>
      <c r="E3" s="24"/>
      <c r="F3" s="24"/>
      <c r="G3" s="24"/>
      <c r="H3" s="24"/>
      <c r="I3" s="24">
        <f>C3*1</f>
        <v>43.43</v>
      </c>
    </row>
    <row r="4" spans="1:9" ht="35.25" customHeight="1">
      <c r="A4" s="24">
        <v>2</v>
      </c>
      <c r="B4" s="25" t="s">
        <v>37</v>
      </c>
      <c r="C4" s="24">
        <f>Sheet1!G13</f>
        <v>18.41</v>
      </c>
      <c r="D4" s="24"/>
      <c r="E4" s="24">
        <f>C4</f>
        <v>18.41</v>
      </c>
      <c r="F4" s="24"/>
      <c r="G4" s="24"/>
      <c r="H4" s="24"/>
      <c r="I4" s="24"/>
    </row>
    <row r="5" spans="1:9" ht="24.75" customHeight="1">
      <c r="A5" s="24">
        <v>3</v>
      </c>
      <c r="B5" s="27" t="s">
        <v>38</v>
      </c>
      <c r="C5" s="24">
        <f>Sheet1!G18</f>
        <v>30.69</v>
      </c>
      <c r="D5" s="24"/>
      <c r="E5" s="24"/>
      <c r="F5" s="24"/>
      <c r="G5" s="24"/>
      <c r="H5" s="24">
        <f>C5*1</f>
        <v>30.69</v>
      </c>
      <c r="I5" s="24"/>
    </row>
    <row r="6" spans="1:9" ht="21" customHeight="1">
      <c r="A6" s="24">
        <v>4</v>
      </c>
      <c r="B6" s="27" t="s">
        <v>39</v>
      </c>
      <c r="C6" s="28">
        <f>Sheet1!G22</f>
        <v>28.330000000000002</v>
      </c>
      <c r="D6" s="24">
        <f>ROUNDUP(C6*0.286,2)</f>
        <v>8.11</v>
      </c>
      <c r="E6" s="24">
        <f>E4</f>
        <v>18.41</v>
      </c>
      <c r="F6" s="24">
        <f>ROUNDUP(D6*1.5,2)</f>
        <v>12.17</v>
      </c>
      <c r="G6" s="24">
        <f>F6*2</f>
        <v>24.34</v>
      </c>
      <c r="H6" s="24"/>
      <c r="I6" s="24"/>
    </row>
    <row r="7" spans="1:9" ht="15.75">
      <c r="A7" s="57" t="s">
        <v>13</v>
      </c>
      <c r="B7" s="58"/>
      <c r="C7" s="59"/>
      <c r="D7" s="29">
        <f>SUM(D6)</f>
        <v>8.11</v>
      </c>
      <c r="E7" s="29">
        <f>E6</f>
        <v>18.41</v>
      </c>
      <c r="F7" s="29">
        <f>SUM(F4:F6)</f>
        <v>12.17</v>
      </c>
      <c r="G7" s="29">
        <f>SUM(G6)</f>
        <v>24.34</v>
      </c>
      <c r="H7" s="29">
        <f>SUM(H5:H6)</f>
        <v>30.69</v>
      </c>
      <c r="I7" s="29">
        <f>SUM(I3:I6)</f>
        <v>43.43</v>
      </c>
    </row>
    <row r="8" spans="1:9" ht="15.75">
      <c r="A8" s="60"/>
      <c r="B8" s="61"/>
      <c r="C8" s="62"/>
      <c r="D8" s="29" t="s">
        <v>15</v>
      </c>
      <c r="E8" s="29" t="s">
        <v>15</v>
      </c>
      <c r="F8" s="29" t="s">
        <v>15</v>
      </c>
      <c r="G8" s="29" t="s">
        <v>15</v>
      </c>
      <c r="H8" s="29" t="s">
        <v>15</v>
      </c>
      <c r="I8" s="29" t="s">
        <v>15</v>
      </c>
    </row>
    <row r="9" spans="1:9" ht="54" customHeight="1"/>
    <row r="10" spans="1:9" ht="18.75">
      <c r="A10" s="63" t="s">
        <v>40</v>
      </c>
      <c r="B10" s="63"/>
      <c r="C10" s="63"/>
      <c r="D10" s="63"/>
      <c r="E10" s="63"/>
      <c r="F10" s="63"/>
      <c r="G10" s="63"/>
      <c r="H10" s="63"/>
      <c r="I10" s="63"/>
    </row>
    <row r="11" spans="1:9" ht="18.75">
      <c r="A11" s="63"/>
      <c r="B11" s="63"/>
      <c r="C11" s="63"/>
      <c r="D11" s="63"/>
      <c r="E11" s="63"/>
      <c r="F11" s="63"/>
      <c r="G11" s="63"/>
      <c r="H11" s="63"/>
      <c r="I11" s="63"/>
    </row>
  </sheetData>
  <mergeCells count="4">
    <mergeCell ref="A1:I1"/>
    <mergeCell ref="A7:C8"/>
    <mergeCell ref="A10:I10"/>
    <mergeCell ref="A11:I11"/>
  </mergeCells>
  <pageMargins left="0.12" right="0.16" top="0.75" bottom="0.75" header="0.3" footer="0.3"/>
  <pageSetup paperSize="9" scale="105" orientation="portrait" verticalDpi="360" r:id="rId1"/>
</worksheet>
</file>

<file path=xl/worksheets/sheet3.xml><?xml version="1.0" encoding="utf-8"?>
<worksheet xmlns="http://schemas.openxmlformats.org/spreadsheetml/2006/main" xmlns:r="http://schemas.openxmlformats.org/officeDocument/2006/relationships">
  <dimension ref="A1:G19"/>
  <sheetViews>
    <sheetView tabSelected="1" workbookViewId="0">
      <selection activeCell="B22" sqref="B22"/>
    </sheetView>
  </sheetViews>
  <sheetFormatPr defaultRowHeight="63.75" customHeight="1"/>
  <cols>
    <col min="1" max="1" width="6.140625" style="2" customWidth="1"/>
    <col min="2" max="2" width="48.7109375" style="2" customWidth="1"/>
    <col min="3" max="3" width="8.5703125" style="2" bestFit="1" customWidth="1"/>
    <col min="4" max="4" width="5.28515625" style="2" customWidth="1"/>
    <col min="5" max="5" width="10.7109375" style="2" customWidth="1"/>
    <col min="6" max="6" width="18.140625" style="2" customWidth="1"/>
    <col min="7" max="16384" width="9.140625" style="2"/>
  </cols>
  <sheetData>
    <row r="1" spans="1:7" ht="22.5" customHeight="1">
      <c r="A1" s="64" t="s">
        <v>0</v>
      </c>
      <c r="B1" s="64"/>
      <c r="C1" s="64"/>
      <c r="D1" s="64"/>
      <c r="E1" s="64"/>
      <c r="F1" s="64"/>
      <c r="G1" s="1"/>
    </row>
    <row r="2" spans="1:7" ht="15.75">
      <c r="A2" s="65" t="s">
        <v>51</v>
      </c>
      <c r="B2" s="65"/>
      <c r="C2" s="65"/>
      <c r="D2" s="65"/>
      <c r="E2" s="65"/>
      <c r="F2" s="65"/>
      <c r="G2" s="1"/>
    </row>
    <row r="3" spans="1:7" ht="31.5" customHeight="1">
      <c r="A3" s="45" t="s">
        <v>79</v>
      </c>
      <c r="B3" s="45"/>
      <c r="C3" s="45"/>
      <c r="D3" s="45"/>
      <c r="E3" s="45"/>
      <c r="F3" s="45"/>
      <c r="G3" s="3"/>
    </row>
    <row r="4" spans="1:7" ht="30" customHeight="1">
      <c r="A4" s="4" t="s">
        <v>1</v>
      </c>
      <c r="B4" s="4" t="s">
        <v>2</v>
      </c>
      <c r="C4" s="4" t="s">
        <v>7</v>
      </c>
      <c r="D4" s="4" t="s">
        <v>8</v>
      </c>
      <c r="E4" s="4" t="s">
        <v>9</v>
      </c>
      <c r="F4" s="5" t="s">
        <v>10</v>
      </c>
      <c r="G4" s="1"/>
    </row>
    <row r="5" spans="1:7" ht="25.5">
      <c r="A5" s="4">
        <v>1</v>
      </c>
      <c r="B5" s="6" t="s">
        <v>66</v>
      </c>
      <c r="C5" s="5">
        <v>10</v>
      </c>
      <c r="D5" s="5" t="s">
        <v>67</v>
      </c>
      <c r="E5" s="5">
        <v>359.54</v>
      </c>
      <c r="F5" s="10">
        <f>ROUND(E5*C5,2)</f>
        <v>3595.4</v>
      </c>
      <c r="G5" s="1"/>
    </row>
    <row r="6" spans="1:7" ht="114.75">
      <c r="A6" s="4" t="s">
        <v>70</v>
      </c>
      <c r="B6" s="6" t="s">
        <v>71</v>
      </c>
      <c r="C6" s="4">
        <v>89.22</v>
      </c>
      <c r="D6" s="4" t="s">
        <v>78</v>
      </c>
      <c r="E6" s="4">
        <v>1867.29</v>
      </c>
      <c r="F6" s="10">
        <f t="shared" ref="F6:F9" si="0">ROUND(E6*C6,2)</f>
        <v>166599.60999999999</v>
      </c>
      <c r="G6" s="1"/>
    </row>
    <row r="7" spans="1:7" ht="89.25">
      <c r="A7" s="42" t="s">
        <v>69</v>
      </c>
      <c r="B7" s="6" t="s">
        <v>68</v>
      </c>
      <c r="C7" s="4">
        <v>3.53</v>
      </c>
      <c r="D7" s="4" t="s">
        <v>78</v>
      </c>
      <c r="E7" s="4">
        <v>5110.26</v>
      </c>
      <c r="F7" s="10">
        <f t="shared" si="0"/>
        <v>18039.22</v>
      </c>
      <c r="G7" s="1"/>
    </row>
    <row r="8" spans="1:7" ht="102">
      <c r="A8" s="4" t="s">
        <v>44</v>
      </c>
      <c r="B8" s="6" t="s">
        <v>17</v>
      </c>
      <c r="C8" s="5">
        <v>1.7</v>
      </c>
      <c r="D8" s="4" t="s">
        <v>78</v>
      </c>
      <c r="E8" s="5">
        <v>4961.7299999999996</v>
      </c>
      <c r="F8" s="10">
        <f t="shared" si="0"/>
        <v>8434.94</v>
      </c>
      <c r="G8" s="1"/>
    </row>
    <row r="9" spans="1:7" ht="38.25">
      <c r="A9" s="4" t="s">
        <v>46</v>
      </c>
      <c r="B9" s="6" t="s">
        <v>75</v>
      </c>
      <c r="C9" s="7">
        <v>3.72</v>
      </c>
      <c r="D9" s="5" t="s">
        <v>50</v>
      </c>
      <c r="E9" s="35">
        <v>194.5</v>
      </c>
      <c r="F9" s="10">
        <f t="shared" si="0"/>
        <v>723.54</v>
      </c>
      <c r="G9" s="1"/>
    </row>
    <row r="10" spans="1:7" ht="15.75" customHeight="1">
      <c r="A10" s="4">
        <v>6</v>
      </c>
      <c r="B10" s="16" t="s">
        <v>18</v>
      </c>
      <c r="C10" s="5"/>
      <c r="D10" s="5"/>
      <c r="E10" s="5"/>
      <c r="F10" s="10"/>
      <c r="G10" s="1"/>
    </row>
    <row r="11" spans="1:7" ht="17.25" customHeight="1">
      <c r="A11" s="32" t="s">
        <v>19</v>
      </c>
      <c r="B11" s="15" t="s">
        <v>72</v>
      </c>
      <c r="C11" s="5">
        <v>1.93</v>
      </c>
      <c r="D11" s="36" t="s">
        <v>41</v>
      </c>
      <c r="E11" s="22">
        <v>848.82</v>
      </c>
      <c r="F11" s="10">
        <f t="shared" ref="F11:F12" si="1">ROUND(E11*C11,2)</f>
        <v>1638.22</v>
      </c>
      <c r="G11" s="1"/>
    </row>
    <row r="12" spans="1:7" ht="17.25" customHeight="1">
      <c r="A12" s="8" t="s">
        <v>20</v>
      </c>
      <c r="B12" s="15" t="s">
        <v>74</v>
      </c>
      <c r="C12" s="5">
        <v>1.46</v>
      </c>
      <c r="D12" s="36" t="s">
        <v>41</v>
      </c>
      <c r="E12" s="22">
        <v>447.06</v>
      </c>
      <c r="F12" s="10">
        <f t="shared" si="1"/>
        <v>652.71</v>
      </c>
      <c r="G12" s="1"/>
    </row>
    <row r="13" spans="1:7" ht="21" customHeight="1">
      <c r="A13" s="8" t="s">
        <v>21</v>
      </c>
      <c r="B13" s="15" t="s">
        <v>73</v>
      </c>
      <c r="C13" s="5">
        <v>1433</v>
      </c>
      <c r="D13" s="36" t="s">
        <v>41</v>
      </c>
      <c r="E13" s="22">
        <v>755.2</v>
      </c>
      <c r="F13" s="10">
        <f>ROUND(E13*C13/1000,2)</f>
        <v>1082.2</v>
      </c>
      <c r="G13" s="1"/>
    </row>
    <row r="14" spans="1:7" ht="22.5" customHeight="1">
      <c r="A14" s="18"/>
      <c r="B14" s="50" t="s">
        <v>13</v>
      </c>
      <c r="C14" s="51"/>
      <c r="D14" s="51"/>
      <c r="E14" s="52"/>
      <c r="F14" s="13">
        <f>SUM(F5:F13)</f>
        <v>200765.84</v>
      </c>
    </row>
    <row r="15" spans="1:7" ht="21" customHeight="1">
      <c r="D15" s="50" t="s">
        <v>76</v>
      </c>
      <c r="E15" s="51"/>
      <c r="F15" s="13">
        <f>F14*18%</f>
        <v>36137.851199999997</v>
      </c>
    </row>
    <row r="16" spans="1:7" ht="19.5" customHeight="1">
      <c r="D16" s="50" t="s">
        <v>13</v>
      </c>
      <c r="E16" s="51"/>
      <c r="F16" s="13">
        <f>SUM(F14:F15)</f>
        <v>236903.6912</v>
      </c>
    </row>
    <row r="17" spans="4:6" ht="18" customHeight="1">
      <c r="D17" s="50" t="s">
        <v>77</v>
      </c>
      <c r="E17" s="51"/>
      <c r="F17" s="13">
        <f>F16*1%</f>
        <v>2369.036912</v>
      </c>
    </row>
    <row r="18" spans="4:6" ht="18" customHeight="1">
      <c r="D18" s="50" t="s">
        <v>13</v>
      </c>
      <c r="E18" s="51"/>
      <c r="F18" s="13">
        <f>SUM(F16:F17)</f>
        <v>239272.72811200001</v>
      </c>
    </row>
    <row r="19" spans="4:6" ht="18.75" customHeight="1"/>
  </sheetData>
  <mergeCells count="8">
    <mergeCell ref="A1:F1"/>
    <mergeCell ref="A3:F3"/>
    <mergeCell ref="D16:E16"/>
    <mergeCell ref="D18:E18"/>
    <mergeCell ref="D15:E15"/>
    <mergeCell ref="D17:E17"/>
    <mergeCell ref="A2:F2"/>
    <mergeCell ref="B14:E14"/>
  </mergeCells>
  <pageMargins left="0.24" right="0.32" top="0.54" bottom="0.24" header="0.94"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boq</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2011-12-31T19:32:19Z</cp:lastPrinted>
  <dcterms:created xsi:type="dcterms:W3CDTF">2015-09-07T02:44:34Z</dcterms:created>
  <dcterms:modified xsi:type="dcterms:W3CDTF">2023-10-13T10:23:20Z</dcterms:modified>
</cp:coreProperties>
</file>