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externalLinks/externalLink10.xml" ContentType="application/vnd.openxmlformats-officedocument.spreadsheetml.externalLink+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360" windowWidth="19815" windowHeight="7650" activeTab="14"/>
  </bookViews>
  <sheets>
    <sheet name="Sheet1" sheetId="2" r:id="rId1"/>
    <sheet name="Sheet2" sheetId="3" r:id="rId2"/>
    <sheet name="Sheet3" sheetId="4" r:id="rId3"/>
    <sheet name="Sheet4" sheetId="5" r:id="rId4"/>
    <sheet name="Sheet5" sheetId="6" r:id="rId5"/>
    <sheet name="Sheet6" sheetId="7" r:id="rId6"/>
    <sheet name="Sheet7" sheetId="8" r:id="rId7"/>
    <sheet name="Sheet8" sheetId="9" r:id="rId8"/>
    <sheet name="Sheet9" sheetId="10" r:id="rId9"/>
    <sheet name="Sheet10" sheetId="11" r:id="rId10"/>
    <sheet name="Sheet11" sheetId="12" r:id="rId11"/>
    <sheet name="Sheet12" sheetId="13" r:id="rId12"/>
    <sheet name="Sheet13" sheetId="14" r:id="rId13"/>
    <sheet name="Sheet14" sheetId="15" r:id="rId14"/>
    <sheet name="Sheet15" sheetId="16" r:id="rId15"/>
    <sheet name="Sheet16" sheetId="1" r:id="rId16"/>
    <sheet name="Sheet17" sheetId="17" r:id="rId17"/>
    <sheet name="Sheet18" sheetId="18" r:id="rId18"/>
    <sheet name="Sheet19" sheetId="19" r:id="rId19"/>
    <sheet name="Sheet20" sheetId="20" r:id="rId20"/>
    <sheet name="Sheet21" sheetId="21" r:id="rId21"/>
    <sheet name="Sheet22" sheetId="22" r:id="rId22"/>
    <sheet name="Sheet23" sheetId="23" r:id="rId23"/>
    <sheet name="Sheet24" sheetId="24" r:id="rId24"/>
    <sheet name="Sheet25" sheetId="25" r:id="rId25"/>
    <sheet name="Sheet26" sheetId="26" r:id="rId26"/>
    <sheet name="Sheet27" sheetId="27" r:id="rId27"/>
  </sheets>
  <externalReferences>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s>
  <calcPr calcId="124519"/>
</workbook>
</file>

<file path=xl/calcChain.xml><?xml version="1.0" encoding="utf-8"?>
<calcChain xmlns="http://schemas.openxmlformats.org/spreadsheetml/2006/main">
  <c r="F17" i="9"/>
  <c r="E17"/>
  <c r="F16"/>
  <c r="F15"/>
  <c r="E15"/>
  <c r="E14"/>
  <c r="F14" s="1"/>
  <c r="F13"/>
  <c r="E13"/>
  <c r="F12"/>
  <c r="F11"/>
  <c r="F10"/>
  <c r="F9"/>
  <c r="F8"/>
  <c r="F7"/>
  <c r="F6"/>
  <c r="F5"/>
  <c r="F19" i="8"/>
  <c r="F20" s="1"/>
  <c r="F18"/>
  <c r="E18"/>
  <c r="F17"/>
  <c r="E17"/>
  <c r="F16"/>
  <c r="E16"/>
  <c r="F15"/>
  <c r="E15"/>
  <c r="F14"/>
  <c r="E14"/>
  <c r="F13"/>
  <c r="F12"/>
  <c r="F11"/>
  <c r="F10"/>
  <c r="F9"/>
  <c r="F8"/>
  <c r="F7"/>
  <c r="F6"/>
  <c r="F5"/>
  <c r="E18" i="7"/>
  <c r="F18" s="1"/>
  <c r="E17"/>
  <c r="F17" s="1"/>
  <c r="E16"/>
  <c r="F16" s="1"/>
  <c r="E15"/>
  <c r="F15" s="1"/>
  <c r="E14"/>
  <c r="F14" s="1"/>
  <c r="F13"/>
  <c r="F12"/>
  <c r="F11"/>
  <c r="F10"/>
  <c r="F9"/>
  <c r="F8"/>
  <c r="F7"/>
  <c r="F6"/>
  <c r="F19" s="1"/>
  <c r="F5"/>
  <c r="F9" i="6"/>
  <c r="E9"/>
  <c r="E8"/>
  <c r="F8" s="1"/>
  <c r="F10" s="1"/>
  <c r="F7"/>
  <c r="F6"/>
  <c r="F5"/>
  <c r="F18" i="5"/>
  <c r="E18"/>
  <c r="E17"/>
  <c r="F17" s="1"/>
  <c r="F16"/>
  <c r="E16"/>
  <c r="E15"/>
  <c r="F15" s="1"/>
  <c r="F14"/>
  <c r="E14"/>
  <c r="F13"/>
  <c r="F12"/>
  <c r="F11"/>
  <c r="F10"/>
  <c r="F9"/>
  <c r="F8"/>
  <c r="F19" s="1"/>
  <c r="F7"/>
  <c r="F6"/>
  <c r="F5"/>
  <c r="F17" i="4"/>
  <c r="C17"/>
  <c r="F16"/>
  <c r="C16"/>
  <c r="F15"/>
  <c r="C15"/>
  <c r="F14"/>
  <c r="E14"/>
  <c r="C14"/>
  <c r="F13"/>
  <c r="C13"/>
  <c r="F11"/>
  <c r="C11"/>
  <c r="C10"/>
  <c r="C9"/>
  <c r="C8"/>
  <c r="C7"/>
  <c r="F6"/>
  <c r="C6"/>
  <c r="F5"/>
  <c r="E5"/>
  <c r="C5"/>
  <c r="F4"/>
  <c r="F18" s="1"/>
  <c r="C4"/>
  <c r="F15" i="3"/>
  <c r="E15"/>
  <c r="E14"/>
  <c r="F14" s="1"/>
  <c r="F13"/>
  <c r="E13"/>
  <c r="F12"/>
  <c r="F11"/>
  <c r="E11"/>
  <c r="F10"/>
  <c r="F9"/>
  <c r="F8"/>
  <c r="F16" s="1"/>
  <c r="F7"/>
  <c r="F6"/>
  <c r="E15" i="2"/>
  <c r="F15" s="1"/>
  <c r="E14"/>
  <c r="F14" s="1"/>
  <c r="E13"/>
  <c r="F13" s="1"/>
  <c r="F12"/>
  <c r="F11"/>
  <c r="E11"/>
  <c r="F10"/>
  <c r="F9"/>
  <c r="F8"/>
  <c r="F16" s="1"/>
  <c r="F7"/>
  <c r="F6"/>
  <c r="F18" i="9" l="1"/>
  <c r="F21" i="8"/>
  <c r="F20" i="7"/>
  <c r="F21" s="1"/>
  <c r="F11" i="6"/>
  <c r="F12" s="1"/>
  <c r="F20" i="5"/>
  <c r="F21" s="1"/>
  <c r="F20" i="4"/>
  <c r="F19"/>
  <c r="F17" i="3"/>
  <c r="F18" s="1"/>
  <c r="F17" i="2"/>
  <c r="F18" s="1"/>
  <c r="F19" i="9" l="1"/>
  <c r="F20" s="1"/>
  <c r="F22" i="8"/>
  <c r="F23" s="1"/>
  <c r="F22" i="7"/>
  <c r="F23" s="1"/>
  <c r="F13" i="6"/>
  <c r="F14" s="1"/>
  <c r="F22" i="5"/>
  <c r="F23" s="1"/>
  <c r="F21" i="4"/>
  <c r="F22" s="1"/>
  <c r="F19" i="3"/>
  <c r="F20" s="1"/>
  <c r="F20" i="2"/>
  <c r="F19"/>
  <c r="F21" i="9" l="1"/>
  <c r="F22" s="1"/>
  <c r="E19" i="10" l="1"/>
  <c r="C19"/>
  <c r="F19" s="1"/>
  <c r="E18"/>
  <c r="C18"/>
  <c r="F18" s="1"/>
  <c r="E17"/>
  <c r="C17"/>
  <c r="F17" s="1"/>
  <c r="E16"/>
  <c r="C16"/>
  <c r="F16" s="1"/>
  <c r="B16"/>
  <c r="E15"/>
  <c r="C15"/>
  <c r="F15" s="1"/>
  <c r="F13"/>
  <c r="E13"/>
  <c r="D13"/>
  <c r="C13"/>
  <c r="B13"/>
  <c r="A13"/>
  <c r="F12"/>
  <c r="E12"/>
  <c r="C12"/>
  <c r="B12"/>
  <c r="A12"/>
  <c r="F11"/>
  <c r="E11"/>
  <c r="D11"/>
  <c r="D12" s="1"/>
  <c r="C11"/>
  <c r="B11"/>
  <c r="A11"/>
  <c r="B10"/>
  <c r="A10"/>
  <c r="F9"/>
  <c r="E9"/>
  <c r="D9"/>
  <c r="C9"/>
  <c r="B9"/>
  <c r="A9"/>
  <c r="E8"/>
  <c r="C8"/>
  <c r="F8" s="1"/>
  <c r="B8"/>
  <c r="A8"/>
  <c r="E7"/>
  <c r="C7"/>
  <c r="F7" s="1"/>
  <c r="B7"/>
  <c r="A7"/>
  <c r="E6"/>
  <c r="C6"/>
  <c r="F6" s="1"/>
  <c r="B6"/>
  <c r="A6"/>
  <c r="E5"/>
  <c r="D5"/>
  <c r="C5"/>
  <c r="F5" s="1"/>
  <c r="B5"/>
  <c r="A5"/>
  <c r="A3"/>
  <c r="F20" l="1"/>
  <c r="F21" l="1"/>
  <c r="F22" s="1"/>
  <c r="F23" l="1"/>
  <c r="F24" s="1"/>
  <c r="F25" s="1"/>
  <c r="F15" i="24" l="1"/>
  <c r="F14"/>
  <c r="F13"/>
  <c r="F12"/>
  <c r="F11"/>
  <c r="F9"/>
  <c r="F8"/>
  <c r="F7"/>
  <c r="F6"/>
  <c r="F5"/>
  <c r="F9" i="23"/>
  <c r="F15"/>
  <c r="F14"/>
  <c r="F13"/>
  <c r="F12"/>
  <c r="F11"/>
  <c r="F8"/>
  <c r="F7"/>
  <c r="F6"/>
  <c r="F5"/>
  <c r="F16" i="24" l="1"/>
  <c r="F17" s="1"/>
  <c r="F18" s="1"/>
  <c r="F19" s="1"/>
  <c r="F20" s="1"/>
  <c r="F16" i="23"/>
  <c r="F17" s="1"/>
  <c r="F18" s="1"/>
  <c r="F19" s="1"/>
  <c r="F20" s="1"/>
  <c r="F20" i="22" l="1"/>
  <c r="F19"/>
  <c r="F18"/>
  <c r="F17"/>
  <c r="F16"/>
  <c r="F14"/>
  <c r="F13"/>
  <c r="F12"/>
  <c r="F11"/>
  <c r="F10"/>
  <c r="F9"/>
  <c r="F8"/>
  <c r="F7"/>
  <c r="F6"/>
  <c r="F5"/>
  <c r="F22" i="21"/>
  <c r="F12"/>
  <c r="F14"/>
  <c r="F13"/>
  <c r="F11"/>
  <c r="F8"/>
  <c r="F20"/>
  <c r="F19"/>
  <c r="F18"/>
  <c r="F17"/>
  <c r="F16"/>
  <c r="F10"/>
  <c r="F9"/>
  <c r="F7"/>
  <c r="F6"/>
  <c r="F5"/>
  <c r="F21" i="22" l="1"/>
  <c r="F22" s="1"/>
  <c r="F23" s="1"/>
  <c r="F24" s="1"/>
  <c r="F25" s="1"/>
  <c r="F21" i="21"/>
  <c r="F23" s="1"/>
  <c r="F24" s="1"/>
  <c r="F25" s="1"/>
  <c r="C11" i="27" l="1"/>
  <c r="F19"/>
  <c r="F18"/>
  <c r="F17"/>
  <c r="F16"/>
  <c r="F15"/>
  <c r="F13"/>
  <c r="F12"/>
  <c r="F10"/>
  <c r="F9"/>
  <c r="F8"/>
  <c r="F7"/>
  <c r="F6"/>
  <c r="F5"/>
  <c r="F9" i="26"/>
  <c r="F8"/>
  <c r="F6"/>
  <c r="F5"/>
  <c r="F18" i="25"/>
  <c r="F17"/>
  <c r="F16"/>
  <c r="F15"/>
  <c r="F14"/>
  <c r="F12"/>
  <c r="F11"/>
  <c r="F10"/>
  <c r="F9"/>
  <c r="F8"/>
  <c r="F7"/>
  <c r="F6"/>
  <c r="F5"/>
  <c r="F19" s="1"/>
  <c r="F20" s="1"/>
  <c r="F21" s="1"/>
  <c r="F22" s="1"/>
  <c r="F23" s="1"/>
  <c r="I10" i="11"/>
  <c r="I9"/>
  <c r="I7"/>
  <c r="I6"/>
  <c r="I5"/>
  <c r="I11" s="1"/>
  <c r="I12" s="1"/>
  <c r="I13" s="1"/>
  <c r="I14" s="1"/>
  <c r="I15" s="1"/>
  <c r="C20" i="16"/>
  <c r="F20" s="1"/>
  <c r="C19"/>
  <c r="F19" s="1"/>
  <c r="C18"/>
  <c r="F18" s="1"/>
  <c r="C17"/>
  <c r="F17" s="1"/>
  <c r="C16"/>
  <c r="F16" s="1"/>
  <c r="F15"/>
  <c r="C14"/>
  <c r="F14" s="1"/>
  <c r="C13"/>
  <c r="F13" s="1"/>
  <c r="C12"/>
  <c r="F12" s="1"/>
  <c r="C11"/>
  <c r="F11" s="1"/>
  <c r="C10"/>
  <c r="F10" s="1"/>
  <c r="C9"/>
  <c r="F9" s="1"/>
  <c r="C8"/>
  <c r="F8" s="1"/>
  <c r="C7"/>
  <c r="F7" s="1"/>
  <c r="C6"/>
  <c r="F6" s="1"/>
  <c r="C5"/>
  <c r="F5" s="1"/>
  <c r="F20" i="27" l="1"/>
  <c r="F21" s="1"/>
  <c r="F22" s="1"/>
  <c r="F23" s="1"/>
  <c r="F24" s="1"/>
  <c r="F10" i="26"/>
  <c r="F11" s="1"/>
  <c r="F12" s="1"/>
  <c r="F13" s="1"/>
  <c r="F14" s="1"/>
  <c r="F21" i="16"/>
  <c r="F22" l="1"/>
  <c r="F23" s="1"/>
  <c r="F24" l="1"/>
  <c r="F25" s="1"/>
  <c r="C12" i="15" l="1"/>
  <c r="F12" s="1"/>
  <c r="C11"/>
  <c r="F11" s="1"/>
  <c r="C10"/>
  <c r="F10" s="1"/>
  <c r="C8"/>
  <c r="F8" s="1"/>
  <c r="C7"/>
  <c r="F7" s="1"/>
  <c r="C6"/>
  <c r="F6" s="1"/>
  <c r="C5"/>
  <c r="F5" s="1"/>
  <c r="F13" s="1"/>
  <c r="F14" l="1"/>
  <c r="F15" s="1"/>
  <c r="F16" l="1"/>
  <c r="F17" s="1"/>
  <c r="C20" i="14" l="1"/>
  <c r="F20" s="1"/>
  <c r="C19"/>
  <c r="F19" s="1"/>
  <c r="C18"/>
  <c r="F18" s="1"/>
  <c r="C17"/>
  <c r="F17" s="1"/>
  <c r="C16"/>
  <c r="F16" s="1"/>
  <c r="C14"/>
  <c r="F14" s="1"/>
  <c r="C13"/>
  <c r="F13" s="1"/>
  <c r="C12"/>
  <c r="F12" s="1"/>
  <c r="C11"/>
  <c r="F11" s="1"/>
  <c r="C10"/>
  <c r="F10" s="1"/>
  <c r="C9"/>
  <c r="F9" s="1"/>
  <c r="C8"/>
  <c r="F8" s="1"/>
  <c r="C7"/>
  <c r="F7" s="1"/>
  <c r="C6"/>
  <c r="F6" s="1"/>
  <c r="C5"/>
  <c r="F5" s="1"/>
  <c r="F21" s="1"/>
  <c r="K4"/>
  <c r="F22" l="1"/>
  <c r="F23" s="1"/>
  <c r="F24" l="1"/>
  <c r="F25" s="1"/>
  <c r="C16" i="13" l="1"/>
  <c r="F16" s="1"/>
  <c r="C15"/>
  <c r="F15" s="1"/>
  <c r="C14"/>
  <c r="F14" s="1"/>
  <c r="E13"/>
  <c r="C13"/>
  <c r="F13" s="1"/>
  <c r="F12"/>
  <c r="C12"/>
  <c r="F10"/>
  <c r="C8"/>
  <c r="F8" s="1"/>
  <c r="F7"/>
  <c r="F6"/>
  <c r="F5"/>
  <c r="F17" l="1"/>
  <c r="F18" l="1"/>
  <c r="F19" s="1"/>
  <c r="F20" l="1"/>
  <c r="F21" s="1"/>
  <c r="C16" i="12" l="1"/>
  <c r="F16" s="1"/>
  <c r="C15"/>
  <c r="F15" s="1"/>
  <c r="C14"/>
  <c r="F14" s="1"/>
  <c r="E13"/>
  <c r="C13"/>
  <c r="F13" s="1"/>
  <c r="F12"/>
  <c r="C12"/>
  <c r="F11"/>
  <c r="F10"/>
  <c r="F8"/>
  <c r="F7"/>
  <c r="F6"/>
  <c r="F5"/>
  <c r="F17" s="1"/>
  <c r="F18" l="1"/>
  <c r="F19" s="1"/>
  <c r="F20" l="1"/>
  <c r="F21" s="1"/>
  <c r="F7" i="20" l="1"/>
  <c r="F8" s="1"/>
  <c r="F9" s="1"/>
  <c r="F10" s="1"/>
  <c r="F5"/>
  <c r="C11" i="19" l="1"/>
  <c r="F11" s="1"/>
  <c r="C10"/>
  <c r="F10" s="1"/>
  <c r="C9"/>
  <c r="F9" s="1"/>
  <c r="C7"/>
  <c r="F7" s="1"/>
  <c r="C6"/>
  <c r="F6" s="1"/>
  <c r="C5"/>
  <c r="F5" s="1"/>
  <c r="F12" s="1"/>
  <c r="F13" l="1"/>
  <c r="F14" s="1"/>
  <c r="F15" l="1"/>
  <c r="F16" s="1"/>
  <c r="F20" i="18" l="1"/>
  <c r="C19"/>
  <c r="F19" s="1"/>
  <c r="C18"/>
  <c r="F18" s="1"/>
  <c r="C17"/>
  <c r="F17" s="1"/>
  <c r="C16"/>
  <c r="F16" s="1"/>
  <c r="C15"/>
  <c r="F15" s="1"/>
  <c r="C13"/>
  <c r="F13" s="1"/>
  <c r="C12"/>
  <c r="F12" s="1"/>
  <c r="C11"/>
  <c r="F11" s="1"/>
  <c r="C10"/>
  <c r="F10" s="1"/>
  <c r="C9"/>
  <c r="F9" s="1"/>
  <c r="C8"/>
  <c r="F8" s="1"/>
  <c r="C7"/>
  <c r="F7" s="1"/>
  <c r="C6"/>
  <c r="F6" s="1"/>
  <c r="C5"/>
  <c r="F5" s="1"/>
  <c r="F21" s="1"/>
  <c r="K4"/>
  <c r="F22" l="1"/>
  <c r="F23" s="1"/>
  <c r="F24" l="1"/>
  <c r="F25" s="1"/>
  <c r="C18" i="17" l="1"/>
  <c r="F18" s="1"/>
  <c r="C17"/>
  <c r="F17" s="1"/>
  <c r="C16"/>
  <c r="F16" s="1"/>
  <c r="C15"/>
  <c r="F15" s="1"/>
  <c r="C14"/>
  <c r="F14" s="1"/>
  <c r="C12"/>
  <c r="F12" s="1"/>
  <c r="C11"/>
  <c r="F11" s="1"/>
  <c r="C10"/>
  <c r="F10" s="1"/>
  <c r="C9"/>
  <c r="F9" s="1"/>
  <c r="C8"/>
  <c r="F8" s="1"/>
  <c r="C7"/>
  <c r="F7" s="1"/>
  <c r="C6"/>
  <c r="F6" s="1"/>
  <c r="C5"/>
  <c r="F5" s="1"/>
  <c r="F19" s="1"/>
  <c r="F20" l="1"/>
  <c r="F21" s="1"/>
  <c r="F22" l="1"/>
  <c r="F23" s="1"/>
  <c r="C22" i="1" l="1"/>
  <c r="F22" s="1"/>
  <c r="C21"/>
  <c r="F21" s="1"/>
  <c r="C20"/>
  <c r="F20" s="1"/>
  <c r="C19"/>
  <c r="F19" s="1"/>
  <c r="C18"/>
  <c r="F18" s="1"/>
  <c r="C16"/>
  <c r="F16" s="1"/>
  <c r="C15"/>
  <c r="F15" s="1"/>
  <c r="C14"/>
  <c r="F14" s="1"/>
  <c r="C13"/>
  <c r="F13" s="1"/>
  <c r="C12"/>
  <c r="F12" s="1"/>
  <c r="C11"/>
  <c r="F11" s="1"/>
  <c r="C10"/>
  <c r="F10" s="1"/>
  <c r="C9"/>
  <c r="F9" s="1"/>
  <c r="C8"/>
  <c r="F8" s="1"/>
  <c r="C7"/>
  <c r="F7" s="1"/>
  <c r="C6"/>
  <c r="F6" s="1"/>
  <c r="F23" l="1"/>
  <c r="F24" l="1"/>
  <c r="F25" s="1"/>
  <c r="F26" l="1"/>
  <c r="F27" s="1"/>
</calcChain>
</file>

<file path=xl/sharedStrings.xml><?xml version="1.0" encoding="utf-8"?>
<sst xmlns="http://schemas.openxmlformats.org/spreadsheetml/2006/main" count="1216" uniqueCount="298">
  <si>
    <t>Ranchi Municipal Corporation , Ranchi</t>
  </si>
  <si>
    <t>BILL OF QUANTITY</t>
  </si>
  <si>
    <t>Name of work :- Construction of Boundary Wall at at Azad Hind Nagar Kabristan ,Harmu, Ranchi under Ward 26</t>
  </si>
  <si>
    <t>Sl.    No.</t>
  </si>
  <si>
    <t>DESCRIPTION</t>
  </si>
  <si>
    <t>TOTAL QTY.</t>
  </si>
  <si>
    <t>UNIT</t>
  </si>
  <si>
    <t>RATE</t>
  </si>
  <si>
    <t>AMOUNT</t>
  </si>
  <si>
    <t>1 5.1.1+ 5.1.2</t>
  </si>
  <si>
    <t>E/W in excavation in foundation in ordinary soil…do..E/I.</t>
  </si>
  <si>
    <t>m3</t>
  </si>
  <si>
    <t>2.       Sl.No.4 M-004 P.No.36 BCD</t>
  </si>
  <si>
    <t>Stone Crusher Dust finer than 3 mm with not more than 10% Passing 0.075 sieve at quarry.        Baasic Rate  = 300.00                     add 15.95%(C.P+O.H.+W.C)=347.85</t>
  </si>
  <si>
    <t>3  5.6.3</t>
  </si>
  <si>
    <t>Providing designation 75 B one Brick flat soling…….do….. all complete job</t>
  </si>
  <si>
    <t xml:space="preserve">m2 </t>
  </si>
  <si>
    <t>4   5.3.2.1</t>
  </si>
  <si>
    <t>Providing R C C M 200(1:1.5:3) foundation with stone chips all complete job</t>
  </si>
  <si>
    <t>5    5.3.6.1</t>
  </si>
  <si>
    <t>Providing R C C M 200(1:1.5:3) Band at P.L. with stone chips all complete job</t>
  </si>
  <si>
    <t>6  5.2.6</t>
  </si>
  <si>
    <t>Providing 75 B Brick work in C M (1:6) in Foundation and plinth all omplete job</t>
  </si>
  <si>
    <t>7  5.3.14</t>
  </si>
  <si>
    <t>Providing R C C M 200(1:1.5:3) in Coloumns …do.. with stone chips all complete job</t>
  </si>
  <si>
    <t>9(i)  5.5.5  (b)</t>
  </si>
  <si>
    <t xml:space="preserve">Providing Tor Steel reinforcement of 12mmmm as per approved design and drawing Excluding carriage of Rods----------do---------do-------as per building specification and direction E/I.                               </t>
  </si>
  <si>
    <t>M.T</t>
  </si>
  <si>
    <t>9(ii)   5.5.5  (b)</t>
  </si>
  <si>
    <t xml:space="preserve">Providing Tor Steel reinforcement of 8mm as per approved design and drawing Excluding carriage of Rods----------do---------do-------as per building specification and direction E/I.                               </t>
  </si>
  <si>
    <t>10    5.7.3</t>
  </si>
  <si>
    <t>Providing 12 mm thick    C P (1:6) all complete job</t>
  </si>
  <si>
    <t>7  5.8.24</t>
  </si>
  <si>
    <t>Providing 2 coat of Snowcem over old surface all complete job</t>
  </si>
  <si>
    <t>Carriage of Material</t>
  </si>
  <si>
    <t>(i)</t>
  </si>
  <si>
    <t>Sand  (Lead Upto 47 km)</t>
  </si>
  <si>
    <t>(ii)</t>
  </si>
  <si>
    <t>Stone Dust (Lead 20 KM)</t>
  </si>
  <si>
    <t>(iv)</t>
  </si>
  <si>
    <t>Stone Chips (Lead 20 KM)</t>
  </si>
  <si>
    <t>(v)</t>
  </si>
  <si>
    <t>Earth (Lead 01 KM)</t>
  </si>
  <si>
    <t>(vi)</t>
  </si>
  <si>
    <t>Brick (1 K+7P)</t>
  </si>
  <si>
    <t>nos in th</t>
  </si>
  <si>
    <t xml:space="preserve">Total Rs. </t>
  </si>
  <si>
    <t>Add 18% GST</t>
  </si>
  <si>
    <t>Add 1% L/Cess</t>
  </si>
  <si>
    <t>RANCHI MUNICIPAL CORPORATION, RANCHI</t>
  </si>
  <si>
    <t>Name of Work :-Construction of RCC Drain IN Patel Nagar/Nand Nagar from Kittu Mahto House to Madhusudan Singh House and from Madhusudan Singh house to Vijay Babu House Under Ward No. 26</t>
  </si>
  <si>
    <t>Sl. No.</t>
  </si>
  <si>
    <t>Items of work</t>
  </si>
  <si>
    <t>Qnty.</t>
  </si>
  <si>
    <t>Unit</t>
  </si>
  <si>
    <t>Rate</t>
  </si>
  <si>
    <t>Amount</t>
  </si>
  <si>
    <t>1.            5.1.1 + 5.1.2</t>
  </si>
  <si>
    <t>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Extra for earthwork in hard soil as per specification &amp; direction of E/I.(vide classification of soil item-B)</t>
  </si>
  <si>
    <t>Stone Crusher Dust finer than 3 mm with not more than 10% Passing 0.075 sieve at quarry.        Baasic Rate  = 300.00                     add 15.95%(C.P+O.H+W.C.)=347.85</t>
  </si>
  <si>
    <t>3.   8.6.8</t>
  </si>
  <si>
    <t>Supplying and laying (properly as per design and drawing) rip-rap with good  quality of boulders duly packed including the cost of materials, royalty all taxes etc. but excluding the cost of carriage all complete as per specification and direction of E/I.</t>
  </si>
  <si>
    <t>4. 5.3.2.1</t>
  </si>
  <si>
    <t>1:1.5:3 (1 Cement :  1.5 Coarse Sand (zone III): 3 graded Stone aggregate 20 mm Nominal Size)</t>
  </si>
  <si>
    <t>5. 5.3.12</t>
  </si>
  <si>
    <t>Reinforced cement concrete work in beams, suspended floors, roofs having slope up to 15 landings, balconies, shelves, chajjas, lintels, band, plain window sills, staircases and spiral stair cases above plinth level up to floor five level, excluding the cost of centering, shuttering, finishing and reinforcement: with 1.1.5.3</t>
  </si>
  <si>
    <t xml:space="preserve">5.      5.5.5 </t>
  </si>
  <si>
    <t>Providing Tor steel reinforcement of 8 mm &amp; 10 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</si>
  <si>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</si>
  <si>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6 5.3.17.1</t>
  </si>
  <si>
    <t xml:space="preserve">Centering and Shuttering including struting,propping etc and removal of from for Foundation, footing s bases of Coloumns etc for mass Concrete                               </t>
  </si>
  <si>
    <t>M2</t>
  </si>
  <si>
    <t>Carriage of Materials</t>
  </si>
  <si>
    <t>Sand (Lead 16 KM)</t>
  </si>
  <si>
    <t>(iii)</t>
  </si>
  <si>
    <t>Stone Boulder (Lead 34  KM)</t>
  </si>
  <si>
    <t>M³</t>
  </si>
  <si>
    <t>Total</t>
  </si>
  <si>
    <t>18% GST</t>
  </si>
  <si>
    <t>1% LABOUR CESS</t>
  </si>
  <si>
    <t>NAME OF WORK:-Construction of drain at Harmu Housing Colony Weeker Section 7 &amp;8  Under Ward No. 26.</t>
  </si>
  <si>
    <t>.</t>
  </si>
  <si>
    <t>4.      8.6.8</t>
  </si>
  <si>
    <t>5.    5.3.1.2</t>
  </si>
  <si>
    <t>1:1.5:3 (1 Cement :2 Coarse Cement sand  (Zone III): 3Graded stone agregate 20 mm nominal Size)</t>
  </si>
  <si>
    <t>6                5.2.34</t>
  </si>
  <si>
    <t>Providing rough dressed course stone masonry in cement mortar (1:4) in foundation and plinth with hammer dressed stone ……………………………. all complete as per specification and direction of E/I</t>
  </si>
  <si>
    <t>7               5.7.11          +          5.7.12</t>
  </si>
  <si>
    <t>Providing 25mm thick cement plaster (1:4) with clean course sand F.M 1.5 includin screening curing with all leads and lifts of water, scaffoling taxes and royality all complete as per specification and direction of E/I with 1.5 mm cement punning</t>
  </si>
  <si>
    <t>m2</t>
  </si>
  <si>
    <t>8. 5.3.11</t>
  </si>
  <si>
    <t xml:space="preserve">Reinforced cement concrete work in walls(any thickness),including attached pilasters, buttresses,plinth and string courses,fillets columns,pillars,piers,abutments,posts and struts etc.above plinth level up to floor five level,excluding cost of centering,shuttering,finishing and reinforcement:    1:1.5:3(1 cement :1.5 coarse sand(zoneIII):3 graded stone aggregate                        </t>
  </si>
  <si>
    <t>9. 5.5.5 (b)</t>
  </si>
  <si>
    <t>Providing Tor steel reinforcement of 8 mm &amp; 10 mm dia rods as per approved design and drawing  ………..do………TMT Fe500(Only Valid for Tata(Tiscon),Sail,JSPL,Electrosteel Steels Ltd. Bokaro and Vizag(RINL))</t>
  </si>
  <si>
    <t>10  5.3.17.1</t>
  </si>
  <si>
    <t xml:space="preserve">Centering and Shuttering including struting,propping etc and removal of from for       Foundation, footing s bases of Coloumns etc for mass Concrete                        </t>
  </si>
  <si>
    <r>
      <t>M</t>
    </r>
    <r>
      <rPr>
        <vertAlign val="superscript"/>
        <sz val="10"/>
        <rFont val="Century"/>
        <family val="1"/>
      </rPr>
      <t>3</t>
    </r>
  </si>
  <si>
    <t>Stone Boulder (Lead 34 KM)</t>
  </si>
  <si>
    <t>Shilanyas Board</t>
  </si>
  <si>
    <t>Nos</t>
  </si>
  <si>
    <t>Add 18% GST (+) :</t>
  </si>
  <si>
    <t>Grand Total</t>
  </si>
  <si>
    <t>Add 1% Labour Cess (+) :</t>
  </si>
  <si>
    <r>
      <rPr>
        <b/>
        <sz val="10.5"/>
        <color theme="1"/>
        <rFont val="Century"/>
        <family val="1"/>
      </rPr>
      <t>Name of Work</t>
    </r>
    <r>
      <rPr>
        <sz val="10.5"/>
        <color theme="1"/>
        <rFont val="Century"/>
        <family val="1"/>
      </rPr>
      <t xml:space="preserve"> :-Installataion of Paver Block At Harmu Staff Qtr. No. 3 to Staff Qtr. No. 8 Under Ward No. 26.</t>
    </r>
  </si>
  <si>
    <t xml:space="preserve">1.            5.1.1 </t>
  </si>
  <si>
    <t>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Extra for earthwork in hard soil as per specification &amp; direction of E/I.(vide classification of soil item-B)</t>
  </si>
  <si>
    <t>2.      5.3.1.2</t>
  </si>
  <si>
    <t>Providing P.C.C M 150 in nominal mix (1:2:4) in foundation with approved quality of stone chips 20 mm to 6 mm size graded and clean coarse sand of F.M. 2.5 to 3 including screening, shuttering, mixing cement concrete in mixer and placing in position, vibrating, skirting, curring, taxes and royalty complete as per building specification and direction of E/I.</t>
  </si>
  <si>
    <t>3      16.91 DSR</t>
  </si>
  <si>
    <t>Providing and laying factory made coloured chamfered edge Cement Concrete paver blocks In footpath,park &amp;lawns drivewayor light &amp; traffic parking etc of required strength,thickness &amp; size/shape,made by table vibratory method using PU mould, laid in required colour &amp; pattern over 50 mm thick compacted bed of fine sand,compacting and proper embedding/laying ofinter locking paver blocks into the sand bedding layer through vibratory compaction by using plate vibrator,filling the joints with jamuna sand and cutting of paver blocks as per required size and pattern,finishing and sweeping extra sand in footpath,parks,lawns,drive ways or light traffic parking etc. complete as permanufacturer's specifications &amp; direction of Engineer-in-charge.80 mm thick C.C. paver block of M-30 grade with approved colour, design &amp; pattern. 80 mm thick C.C. paver block of M-30 grade with approved color design and</t>
  </si>
  <si>
    <t>Add 18% GST (+)</t>
  </si>
  <si>
    <t>G. Total</t>
  </si>
  <si>
    <t>Add 1% Labour Cess (+)</t>
  </si>
  <si>
    <t>N.Total</t>
  </si>
  <si>
    <t xml:space="preserve">BILL OF QUANTITY </t>
  </si>
  <si>
    <t>Name of Work :- Providing, Supplying and Fixing RCC Bench at different Location Under Ward No-29.</t>
  </si>
  <si>
    <t>SL.NO.</t>
  </si>
  <si>
    <t>ITEMS OF WORK</t>
  </si>
  <si>
    <t>Qty</t>
  </si>
  <si>
    <t>RCC Bench-6'0" Long (quotation Approved Rate of RMC)</t>
  </si>
  <si>
    <t>NO.</t>
  </si>
  <si>
    <t>TOTAL</t>
  </si>
  <si>
    <t>GST (18%)</t>
  </si>
  <si>
    <t>L. CESS (1%)</t>
  </si>
  <si>
    <r>
      <rPr>
        <b/>
        <sz val="11"/>
        <color theme="1"/>
        <rFont val="Century"/>
        <family val="1"/>
      </rPr>
      <t>Name of Work</t>
    </r>
    <r>
      <rPr>
        <sz val="11"/>
        <color theme="1"/>
        <rFont val="Century"/>
        <family val="1"/>
      </rPr>
      <t xml:space="preserve"> :- Construction of P.C.C road  in Saket Vihar from Akheel Jee House to Mourya Sadan Via R.B. Prasad Under Ward No.25.</t>
    </r>
  </si>
  <si>
    <t>3.      5.6.8</t>
  </si>
  <si>
    <t>4. 5.3.1.1</t>
  </si>
  <si>
    <r>
      <t xml:space="preserve">Providing and Layng in Position cement concrete of specified grade excluding the cost of centring and shuttering……All work Upto plinth Level:                       </t>
    </r>
    <r>
      <rPr>
        <b/>
        <sz val="10"/>
        <color theme="1"/>
        <rFont val="Century"/>
        <family val="1"/>
      </rPr>
      <t>1:1.5:3 (1 Cement :1.5 Coarse Cement sand  (Zone III): 3 Graded stone agregate 20 mm nominal Size)</t>
    </r>
  </si>
  <si>
    <t>5  5.3.17.1</t>
  </si>
  <si>
    <t xml:space="preserve">Centering and Shuttering including struting,propping etc and removal of from for                               </t>
  </si>
  <si>
    <t>Foundation, footing s bases of Coloumns etc for mass Concrete</t>
  </si>
  <si>
    <r>
      <rPr>
        <b/>
        <sz val="11"/>
        <color theme="1"/>
        <rFont val="Century"/>
        <family val="1"/>
      </rPr>
      <t>Name of Work</t>
    </r>
    <r>
      <rPr>
        <sz val="11"/>
        <color theme="1"/>
        <rFont val="Century"/>
        <family val="1"/>
      </rPr>
      <t xml:space="preserve"> :- Construction of P.C.C road  in Kadru at Talab Road From Near Hajj House to  Culvert Under Ward No.25.</t>
    </r>
  </si>
  <si>
    <t>NAME OF WORK:-Construction of drain at Different Mohallah in Harmu (i) Dhela Toli Near Samrajya Apartment and (ii) New A.G Co oprative Colony and extra Slab or Open Drain  Under Ward No. 25.</t>
  </si>
  <si>
    <t>Description of Work</t>
  </si>
  <si>
    <t>1 5.10.3</t>
  </si>
  <si>
    <t>Dismentalling of Rienforced Cement Concrete and………..Do…..E/I.</t>
  </si>
  <si>
    <t>M3</t>
  </si>
  <si>
    <t>2.            5.1.1 + 5.1.2</t>
  </si>
  <si>
    <t>cft</t>
  </si>
  <si>
    <t>Centering and Shuttering including struting,propping etc and removal of from for                               Foundation, footing s bases of Coloumns etc for mass Concrete</t>
  </si>
  <si>
    <r>
      <t>M</t>
    </r>
    <r>
      <rPr>
        <b/>
        <vertAlign val="superscript"/>
        <sz val="10"/>
        <rFont val="Century"/>
        <family val="1"/>
      </rPr>
      <t>3</t>
    </r>
  </si>
  <si>
    <t>Add 12% GST (+) :</t>
  </si>
  <si>
    <t>RANCHI MUNICIPAL CORPORATION RANCHI</t>
  </si>
  <si>
    <t>Name of Work:- Laying of Paver Block at Anand Nagar Kadru (i)Near Anmol Khalko House (ii) Upkar Nagar Near Prasad Jee House and(iii) Tabrej Gowhar Gali under Ward No.25.</t>
  </si>
  <si>
    <t>Sl.No.</t>
  </si>
  <si>
    <t>Items of Work</t>
  </si>
  <si>
    <t>Qnty</t>
  </si>
  <si>
    <r>
      <rPr>
        <b/>
        <sz val="10"/>
        <color theme="1"/>
        <rFont val="Century"/>
        <family val="1"/>
      </rPr>
      <t>1.</t>
    </r>
    <r>
      <rPr>
        <sz val="10"/>
        <color theme="1"/>
        <rFont val="Century"/>
        <family val="1"/>
      </rPr>
      <t xml:space="preserve">            5.1.1 + 5.1.2</t>
    </r>
  </si>
  <si>
    <t>2      4.01B(1ii)(Gradeing II)</t>
  </si>
  <si>
    <t xml:space="preserve">Construction of granular sub-base by providing close graded material,mixing in a mechaniclal mix plant at OMC,carriage of mix Material to work site, spreading in uniform layers with moter grader on prepared surface and compacting with vibratory power roller to achieve the desired density complete as per clause 401. </t>
  </si>
  <si>
    <t>3. 5.3.1.2</t>
  </si>
  <si>
    <r>
      <t xml:space="preserve">Providing and Layng in Position cement concrete of specified grade excluding the cost of centring and shuttering……All work Upto plinth Level:                       </t>
    </r>
    <r>
      <rPr>
        <b/>
        <sz val="10"/>
        <color theme="1"/>
        <rFont val="Century"/>
        <family val="1"/>
      </rPr>
      <t>1:2:4 (1 Cement :2 Coarse Cement sand  (Zone III): 4 Graded stone agregate 20 mm nominal Size)</t>
    </r>
  </si>
  <si>
    <t>4 4.23 (B)</t>
  </si>
  <si>
    <t xml:space="preserve">Providing and laying80 mm Thick factory made  Cement Concrete paver block of M-40 grade made by block making Machine with strong vibretory compaction of approve size,design  and shape ,laid in rerequired collour and pattern over bed as per revalent IRC Code ,filling the joints with fine sand etc all complete as per direction of Engineer -in -Charge.(a) 80mm thick Cement concrete paver block of M-30 grade with approved colour, design &amp; pattern </t>
  </si>
  <si>
    <t>Sand (Lead   47   KM)</t>
  </si>
  <si>
    <t>G.Total=</t>
  </si>
  <si>
    <t>NAME OF WORK:-Construction of drain at Dhela Toli from behind Lalesh House to Neeraj Sinha House Under Ward No. 25.</t>
  </si>
  <si>
    <t>1:2:4 (1 Cement :2 Coarse Cement sand  (Zone III): 3Graded stone agregate 20 mm nominal Size)</t>
  </si>
  <si>
    <t>Name of Work :- Construction of PCC Road at ATM Gali under ward no 21.</t>
  </si>
  <si>
    <t>Labour for cleaning the work site before and after work etc.</t>
  </si>
  <si>
    <t>Each</t>
  </si>
  <si>
    <t>2
5.3.1.1</t>
  </si>
  <si>
    <t>Providing and laying in position cement concrete of specified grade excluding the cost of centering and shutering  All work upto pilith level.1:1.5.3(1 Cement:1.5 coarse sand(zone iii):3graded stone Aggregate 20mm nomial size.</t>
  </si>
  <si>
    <t>3
   J.B.C.D 5.3.17.1</t>
  </si>
  <si>
    <t xml:space="preserve">Centering and shuttering including strutting , etc and removel of form for  foundation, footings bases of column etc for mass concrete.             </t>
  </si>
  <si>
    <t>i</t>
  </si>
  <si>
    <t>Sand (Lead 42 KM)</t>
  </si>
  <si>
    <t>ii</t>
  </si>
  <si>
    <t>Stone Chips  (Lead 15 KM)</t>
  </si>
  <si>
    <t>Name of Work :- Construction of  RCC Drain at doranda in mistri mohalla under ward no.- 45 of R.M.C, Ranchi.</t>
  </si>
  <si>
    <t>1 .(.J.B.C.D.5.1.1.+5.1.2.)</t>
  </si>
  <si>
    <t xml:space="preserve"> 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E/I+Extra for earthworkin hard soil as per specification and direction of E/I.(vide classification of soil item-B)                                                                                </t>
  </si>
  <si>
    <t>2.        (J.B.C.D.-5.1.10)</t>
  </si>
  <si>
    <t xml:space="preserve">Providing coarse clean sand in filling in foundation trenches or in plinth including  ramming and watering in layers not exceeding 150 mm thick with all leads and lifts including cost of materials , labour , royalty and taxes all complete as per specification and  direction of E/I( Mode of measurement compacted volume. )                               </t>
  </si>
  <si>
    <t>3.        (J.B.C.D.-8.6.8)</t>
  </si>
  <si>
    <t xml:space="preserve"> Supplying and laying (properly as per design and drawing )rip-rap with good quality of boulders duly packed including the cost of materials,royalty all taxes etc.but excluding the cost of carriage, all complete as per specification and direction of E/I.</t>
  </si>
  <si>
    <t xml:space="preserve">4       JSR
5.3.10 </t>
  </si>
  <si>
    <t>Reinforced cement concrete work in walls(any thickness), including attached pilasters, buttresses, plinth and string courses, fillets, columns, pillars, piers, abutments, posts and struts etc. above plinth level up to floor five level, excluding cost of centering, shuttering, finishing and reinforcement: 1:1.5:3(1 cement : 1-5 coarse sand (Zone-III) : 3 graded stone aggregate 20 mmnominaol size)</t>
  </si>
  <si>
    <t>5  JSR  5.3.11</t>
  </si>
  <si>
    <t xml:space="preserve">6  5.5.5   </t>
  </si>
  <si>
    <t>Providing Tor steel reinforcement of 8mm, 10mmbars as per approved design and drawing excluding carriage of Rods (straight or in coils) to work site, cutting, bending and binding with annealed wire with cost of wire, removal of rust, placing the rods in position all complete as per building specification and direction of E/I.
8 mm dia 30%</t>
  </si>
  <si>
    <t>MT</t>
  </si>
  <si>
    <t>10 mm dia 70%</t>
  </si>
  <si>
    <t>7              5.3.17.1</t>
  </si>
  <si>
    <t>Centering and shuttering including strutting, propping etc. and removal of form for Foundation, footing, bases of columns, etc for mass concrete</t>
  </si>
  <si>
    <t>CARRIAGE OF MATERIALS</t>
  </si>
  <si>
    <t>SAND-LEAD-42KM</t>
  </si>
  <si>
    <t>SAND LOCAL-LEAD-18KM</t>
  </si>
  <si>
    <t>CHIPS-LEAD-15KM</t>
  </si>
  <si>
    <t>BOULDER-LEAD-29KM</t>
  </si>
  <si>
    <t>EARTH-LEAD-1km</t>
  </si>
  <si>
    <t xml:space="preserve">SAY RS. </t>
  </si>
  <si>
    <t>Centering and shuttering including strutting, propping etc. and removal of form for Foundation, footing, bases of columns, etc for mass concrete road</t>
  </si>
  <si>
    <t>Providing and laying in position cement concrete of specfied grade excluding the cost of centering and shuttering-All work up to plinth level.1:1.5:3(1Cement:1.5coarse sand(Zone-III): 3 graded stone aggregate 20mm nominal size)</t>
  </si>
  <si>
    <t>Name of Work :- Construction of  PCC Road at doranda bazar mohalla masjid gali under ward no.- 45 of R.M.C, Ranchi.</t>
  </si>
  <si>
    <t>1
5.3.17.1</t>
  </si>
  <si>
    <t>2
JSR
5.3.1.2</t>
  </si>
  <si>
    <t>1A</t>
  </si>
  <si>
    <t>Dismantling pcc road work ……E/I.</t>
  </si>
  <si>
    <t>Name of Work :- Construction of  RCC Drain at doranda bazar mohalla mashid gali under ward no.- 45 of R.M.C, Ranchi.</t>
  </si>
  <si>
    <t>Earth work in excavation in foundation trenches in ordinary soil (vide classification of soil item-A) and disposal of excavated earth as obtained to a distance up to 50 M. including all lifts, levelling,ramming the foundation trenches removing roots of trees, shrubs all complete as per approved design, building specification and direction of E/I</t>
  </si>
  <si>
    <t xml:space="preserve">                                                                                                                                                                                                                                                                                                          </t>
  </si>
  <si>
    <t>2
5.1.10</t>
  </si>
  <si>
    <t>Providing coarse clean sand in filling in foundation trenches or in plinth including ramming and watering in layers not exceeding 150 mm thick with all leads and lifts including cost of all materials, labour, royalty and taxes all complete as per building specification &amp; direction of E/I.</t>
  </si>
  <si>
    <t>3
 8.6.8</t>
  </si>
  <si>
    <t xml:space="preserve">5
5.2.34
</t>
  </si>
  <si>
    <t>Providing rough dressed  course  stone masonry in cement mortar (1:6)  in foundation and  plinth  with hammer  dressed stone of less than 0.03 m3 in volume nad clean  coarse sand of F.M. 2 to 2.5 including  cost of screenign raking out joints to 20mm depth curing taxes  and royalty  all complete as per building  specification and direction of E/I.</t>
  </si>
  <si>
    <t>6
5.7.11          +          5.7.12</t>
  </si>
  <si>
    <t xml:space="preserve"> Sand with lead of 42 km</t>
  </si>
  <si>
    <t>Local Sand with lead of 18 km</t>
  </si>
  <si>
    <t>Stone Boulder with lead of 29 km</t>
  </si>
  <si>
    <t>Stone chips with lead of 15 km</t>
  </si>
  <si>
    <t>Earth (lead 01 KM)</t>
  </si>
  <si>
    <t xml:space="preserve"> 1
  5.1.1 +5.1.2 JBCD</t>
  </si>
  <si>
    <t>4
5.3.1.2</t>
  </si>
  <si>
    <t>7
  JSR  5.3.11</t>
  </si>
  <si>
    <t>8             5.3.17.1</t>
  </si>
  <si>
    <t xml:space="preserve">9
5.5.5   </t>
  </si>
  <si>
    <t>Name of Work :- Construction of Drain work at darzee mohalla doranda from house of late hussain mistri to house of hasim  under in ward no-44.</t>
  </si>
  <si>
    <t>Name of Work :- Construction of Drain at parastoli from house of wahid to house of rinku under in ward no-44.</t>
  </si>
  <si>
    <t>Providing stone dust in filling in foundation trenches or in plinth including ramming and watering in layers not exceeding 150 mm thick with all leads and lifts including cost of materials, labour, royalty and taxes all complete as per specification and direction of E/I Mode of measurement compacted volume.)</t>
  </si>
  <si>
    <t>Name of Work :- Construction of  PCC road at magistrate colony chokatoli from house of shasi minz to river under ward no.- 44 of R.M.C, Ranchi.</t>
  </si>
  <si>
    <t>Name of Work :- Construction of  PCC road at magistrate colony from house of shasi minz to river under ward no.- 44 of R.M.C, Ranchi.</t>
  </si>
  <si>
    <t>Carriage of materials</t>
  </si>
  <si>
    <t>Sand  (Lead Upto 49 km)</t>
  </si>
  <si>
    <t>Stone Boulder (Lead 36  KM)</t>
  </si>
  <si>
    <t>Stone Chips (Lead 22KM)</t>
  </si>
  <si>
    <t>Add 18%  GST</t>
  </si>
  <si>
    <t>Add 1 % L Cess</t>
  </si>
  <si>
    <t xml:space="preserve">1% L Cess </t>
  </si>
  <si>
    <t>Say</t>
  </si>
  <si>
    <t>RANCHI  MUNICIPAL  CORPORATION,  RANCHI</t>
  </si>
  <si>
    <t>NAME OF WORK:- CONSTRUCTION OF PCC ROAD AT SARODAY NAGAR UNDER WARD-01 OF RMC, RANCHI</t>
  </si>
  <si>
    <t>SL</t>
  </si>
  <si>
    <t xml:space="preserve"> Item of works</t>
  </si>
  <si>
    <t>Quantity</t>
  </si>
  <si>
    <t xml:space="preserve">Rate          </t>
  </si>
  <si>
    <t xml:space="preserve">Amount                     </t>
  </si>
  <si>
    <t>1                  5.1.1</t>
  </si>
  <si>
    <t xml:space="preserve">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E/I                                                                               </t>
  </si>
  <si>
    <t>2.     5.1.10</t>
  </si>
  <si>
    <t xml:space="preserve">Providing coarse clean sand in filling in foundation trenches or in plinth including  ramming and watering in layers not exceeding 150 mm thick with all leads and lifts including cost of materials , labour , royalty and taxes all complete as per specification and  direction of E/I. ( Mode of measurement compacted volume. )                               </t>
  </si>
  <si>
    <t>3.         5.6.8</t>
  </si>
  <si>
    <t>Supplying and laying (properly as per design and drawing )rip-rap with good quality of boulders duly packed including the cost of materials,royalty all taxes etc.but excluding the cost of carriage, all complete as per specification and direction of E/I.</t>
  </si>
  <si>
    <t>4         5.3.1.1</t>
  </si>
  <si>
    <t>Providing and laying in position cement concrete of specified grade excluding the cost of centering and shuttering - All work up to plinth level 1:1.5:3 ( 1 cement: 1.5 course sand (zone- III): 3 graded stone agreegate 20mm nominal size)</t>
  </si>
  <si>
    <t>5             5.3.17.1</t>
  </si>
  <si>
    <t>Centering and shuttering including strutting, propping etc. and removal of from for Foundations,footings, bases of columns, etc. for mass concrete.</t>
  </si>
  <si>
    <t>M²</t>
  </si>
  <si>
    <t>SAND-LEAD-49KM</t>
  </si>
  <si>
    <t>LOCAL SAND-LEAD-13KM</t>
  </si>
  <si>
    <t>STONE CHIPS-LEAD-22KM</t>
  </si>
  <si>
    <t>BOULDER-LEAD-36KM</t>
  </si>
  <si>
    <t>EARTH-LEAD-1KM</t>
  </si>
  <si>
    <t xml:space="preserve">GST18% </t>
  </si>
  <si>
    <t>L CESS 1%</t>
  </si>
  <si>
    <t>NAME OF WORK:- CONSTRUCTION OF PCC ROAD AT KANKE ROAD NEAR KRISHI BHAWAN TO TIKLI TOLA  UNDER WARD-01 OF RMC, RANCHI</t>
  </si>
  <si>
    <t>02.
4/M004</t>
  </si>
  <si>
    <t>Providing,supplying &amp; spreding of stone dust in filling in foundation trenches or in plinth including ramming and watering in layers not exceeding 150 mm thick with all leads and lifts including cost of materials, labour,royality and taxes all complete as per specification and direction of E/I ( Mode of measurment compacted volume.)</t>
  </si>
  <si>
    <t>STONE DUST-LEAD-13KM</t>
  </si>
  <si>
    <t>NAME OF WORK:- CONSTRUCTION OF RCC DRAIN AT FRONT OF CMPDI GATE  ADVOCATE ANIL SINGH HOUSE UNDER WARD NO- 1 OF RMC, RANCHI</t>
  </si>
  <si>
    <t>1                 5.1.1</t>
  </si>
  <si>
    <t>4          B.C.D. 5.3.10</t>
  </si>
  <si>
    <t>Reinforced cement concrete work in walls of specified grade excluding the cost of centering and shuttering - All work up to plinth level 1:1.5:3 ( 1 cement: 1.5 course sand (zone- III): 3 graded stone agreegate 20mm nominal size)</t>
  </si>
  <si>
    <t>5.         B.C.D. 5.3.11</t>
  </si>
  <si>
    <t>Reinforced cement concrete work in beam roofs of specified grade excluding the cost of centering and shuttering - All work up to plinth level 1:1.5:3 ( 1 cement: 1.5 course sand (zone- III): 3 graded stone agreegate 20mm nominal size)</t>
  </si>
  <si>
    <t>Providing  Tor steel reinforcement of 8mm, 10mm, 12mm, and 16mm dia rods bars as per approved design and drawing with cutting,bending and binding with annealed wire with cost of wire,removal of rust,placing the rods in position (excluding carriage of bars to work site), all complete as per building specification and direction of E/I. TMT Fe 500 (only valid for SAIL and TATA steel,JSPL,Electro steel Ltd Bokaro and Vizag (RINL)                                                        8MM</t>
  </si>
  <si>
    <t>10mm</t>
  </si>
  <si>
    <t>`````````````````````````````````````</t>
  </si>
  <si>
    <t>7            5.3.17.1</t>
  </si>
  <si>
    <t>Carraige of material</t>
  </si>
  <si>
    <t>NAME OF WORK:- CONSTRUCTION OF RCC DRAIN NEAR TONTE CHOWK ADALHATU SHIVNATH HOUSE TO BIRSA MUNDA GAWADEVTI CHOWK UNDER WARD-03 OF RMC, RANCHI</t>
  </si>
  <si>
    <t>4                                  5.3.10</t>
  </si>
  <si>
    <t xml:space="preserve">Reinforced cement concrete work in walls (any thickness),including  attached pilasters, buttresses, plinth and string courses, fillets, columns,pillars, piers, abutments, posts and struts etc.above plinth level upto to five level, excluding the cost of centering, shuttering, finishing and reinforcement  with 1:1½:3 (1 cemet : 1½ coarse sand (zone-iii) : 3 graded stone aggregate 20mm nominal size ) </t>
  </si>
  <si>
    <t>5                  5.3.11</t>
  </si>
  <si>
    <t xml:space="preserve">Reinforced cement concrete work in beam, suspended floors, roofs having slope up to 15° landing, balconies, shelves, chajjas, lintel, bands, plain window sills, staircases and spiral stair cases above plinth level up to floor five level, excluding the cost of centering, shuttering, finishing and reinfocement, with 1:1.5:3(1 cement : 1.5 coarse sand(zone-iii) : 3 graded  stone aggregate 20mm nominal size)                                                             </t>
  </si>
  <si>
    <t>Providing  Tor steel reinforcement of 8mm, 10mm, 12mm, and 16mm dia rods bars as per approved design and drawing with cutting,bending and binding with annealed wire with cost of wire,removal of rust,placing the rods in position (excluding carriage of bars to work site), all complete as per building specification and direction of E/I. TMT Fe 500 (only valid for SAIL and TATA steel,JSPL,Electro steel Ltd Bokaro and Vizag (RINL) 8mm</t>
  </si>
  <si>
    <t>7                5.3.17.1</t>
  </si>
  <si>
    <t>NAME OF WORK:- CONSTRUCTION OF PCC ROAD AT SARKARI WELL TO BABU DA MUNDA UNDER WARD-03 OF RMC, RANCHI</t>
  </si>
  <si>
    <t>1        5.3.1.1</t>
  </si>
  <si>
    <t>2             5.3.17.1</t>
  </si>
  <si>
    <t>NAME OF WORK:- CONSTRUCTION OF RCC DRAIN AT DRAIN TO PANDEY VIKASH MATHUR AND HOUSE OF AFTAB TO NALA UNDER WARD-03 OF RMC, RANCHI</t>
  </si>
  <si>
    <t>NAME OF WORK:- CONSTRUCTION OF RCC DRAIN AT TANGRA KOTCHA  ADALHATU MUKESH MUNDA HOUSE TO CHUNU ORAON HOUSE UNDER WARD-03 OF RMC, RANCHI</t>
  </si>
  <si>
    <t xml:space="preserve">   NAME OF WORK:- Construction  of  shed  chabutra  at  Chiroundi  Akhra  under ward no - 3 of RMC Ranchi</t>
  </si>
  <si>
    <t xml:space="preserve">EARTH WORK IN  EXCAVATION IN FOUNDATION Trenches in ordinary soil (vide classification of soil item -A) and disposal of excavated earth as obtained to a distance upto 50 M including all lift, leveling ramming the foundation trenches, removing roots of tree shrubs all complete as per approved design, building specification and direction of E/I
Extra for hard soil        </t>
  </si>
  <si>
    <t xml:space="preserve">Providing coarse clean local SAND IN FILLING in foundation trenches or in plinth including ramming and watering in layer not exceeding 150 mm thick with all leads and 1.5 M lifts including cost of all materials, labours, royalty and taxes all complete as per building specification and direction of Engineer Incharge (Mode of measurement compacted volume) </t>
  </si>
  <si>
    <t>3.         5.6.3</t>
  </si>
  <si>
    <t xml:space="preserve">Providing designation 75-B, BRICK FLAT SOLING joints filled with local sand including cost of watering,taxes and royalty all complete as per building specification and direction of Engineer Incharge. 
</t>
  </si>
  <si>
    <t>4                                  5.3.1.2</t>
  </si>
  <si>
    <t>Providing and laying in position cement concrete of specified grade excluding the cost of centering and shuttering - All work up to plinth level 1:2:4 ( 1 cement: 2course sand (zone- III): 4graded stone agreegate 20mm nominal size)</t>
  </si>
  <si>
    <t>5                  5.2.6</t>
  </si>
  <si>
    <t xml:space="preserve">Providing designation 75B brick work in C.M. (1:6) in foundation &amp; plinth with approved quality of clean coarse sand of F.M. 2 to 2.5 including providing 10mm. thick mortar joints,cost of screening materials raking out joints to 15mm depth , curing, taxes &amp; royalty all complete as per building specification &amp; direction of E/I.. 
</t>
  </si>
  <si>
    <t>6. 5.7.3</t>
  </si>
  <si>
    <t xml:space="preserve">Providing 12 mm Thk. cement plaster(1:6) on walls with clean course sand of FM-1.5  including screening, curing with all leads &amp; lifts of water, scaffolding taxes &amp; royalty all complete  as per building specification and direction of E/I
</t>
  </si>
  <si>
    <t>7.5.7.11</t>
  </si>
  <si>
    <t xml:space="preserve">Providing 1.5 mm Thk. Cement punning including screening, curing with all leads &amp; lifts of water, scaffolding taxes &amp; royalty all complete  as per building specification and direction of E/I
</t>
  </si>
  <si>
    <t>BRICK-LEAD-8KM</t>
  </si>
  <si>
    <t>NOS</t>
  </si>
</sst>
</file>

<file path=xl/styles.xml><?xml version="1.0" encoding="utf-8"?>
<styleSheet xmlns="http://schemas.openxmlformats.org/spreadsheetml/2006/main">
  <numFmts count="5">
    <numFmt numFmtId="43" formatCode="_(* #,##0.00_);_(* \(#,##0.00\);_(* &quot;-&quot;??_);_(@_)"/>
    <numFmt numFmtId="164" formatCode="0.000"/>
    <numFmt numFmtId="165" formatCode="_ * #,##0.00_ ;_ * \-#,##0.00_ ;_ * &quot;-&quot;??_ ;_ @_ "/>
    <numFmt numFmtId="166" formatCode="0.0"/>
    <numFmt numFmtId="167" formatCode="&quot;₹&quot;\ #,##0.00"/>
  </numFmts>
  <fonts count="66">
    <font>
      <sz val="11"/>
      <color theme="1"/>
      <name val="Calibri"/>
      <family val="2"/>
      <scheme val="minor"/>
    </font>
    <font>
      <b/>
      <sz val="18"/>
      <color theme="1"/>
      <name val="Calibri"/>
      <family val="2"/>
      <scheme val="minor"/>
    </font>
    <font>
      <b/>
      <sz val="12"/>
      <color theme="1"/>
      <name val="Arial"/>
      <family val="2"/>
    </font>
    <font>
      <b/>
      <sz val="10"/>
      <name val="Arial"/>
      <family val="2"/>
    </font>
    <font>
      <sz val="10"/>
      <color theme="1"/>
      <name val="Arial"/>
      <family val="2"/>
    </font>
    <font>
      <b/>
      <sz val="10"/>
      <color theme="1"/>
      <name val="Arial"/>
      <family val="2"/>
    </font>
    <font>
      <b/>
      <sz val="10"/>
      <color theme="1"/>
      <name val="Century"/>
      <family val="1"/>
    </font>
    <font>
      <sz val="10"/>
      <name val="Arial"/>
      <family val="2"/>
    </font>
    <font>
      <sz val="10"/>
      <color theme="1"/>
      <name val="Century"/>
      <family val="1"/>
    </font>
    <font>
      <sz val="11"/>
      <color theme="1"/>
      <name val="Calibri"/>
      <family val="2"/>
      <scheme val="minor"/>
    </font>
    <font>
      <b/>
      <sz val="11"/>
      <color theme="1"/>
      <name val="Calibri"/>
      <family val="2"/>
      <scheme val="minor"/>
    </font>
    <font>
      <sz val="8"/>
      <color theme="1"/>
      <name val="Century"/>
      <family val="1"/>
    </font>
    <font>
      <b/>
      <u/>
      <sz val="18"/>
      <color theme="1"/>
      <name val="Century"/>
      <family val="1"/>
    </font>
    <font>
      <b/>
      <sz val="18"/>
      <color theme="1"/>
      <name val="Century"/>
      <family val="1"/>
    </font>
    <font>
      <sz val="18"/>
      <color theme="1"/>
      <name val="Century"/>
      <family val="1"/>
    </font>
    <font>
      <b/>
      <u/>
      <sz val="12"/>
      <color theme="1"/>
      <name val="Calibri"/>
      <family val="2"/>
    </font>
    <font>
      <b/>
      <sz val="12"/>
      <color theme="1"/>
      <name val="Century"/>
      <family val="1"/>
    </font>
    <font>
      <sz val="10"/>
      <color theme="1"/>
      <name val="Calibri"/>
      <family val="2"/>
    </font>
    <font>
      <sz val="11"/>
      <color theme="1"/>
      <name val="Calibri"/>
      <family val="2"/>
    </font>
    <font>
      <b/>
      <sz val="11"/>
      <color theme="1"/>
      <name val="Calibri"/>
      <family val="2"/>
    </font>
    <font>
      <b/>
      <sz val="11"/>
      <color theme="1"/>
      <name val="Century"/>
      <family val="1"/>
    </font>
    <font>
      <sz val="11"/>
      <color theme="1"/>
      <name val="Century"/>
      <family val="1"/>
    </font>
    <font>
      <sz val="12"/>
      <color theme="1"/>
      <name val="Calibri"/>
      <family val="2"/>
    </font>
    <font>
      <b/>
      <sz val="12"/>
      <color theme="1"/>
      <name val="Calibri"/>
      <family val="2"/>
    </font>
    <font>
      <sz val="9"/>
      <color theme="1"/>
      <name val="Calibri"/>
      <family val="2"/>
    </font>
    <font>
      <sz val="9"/>
      <color theme="1"/>
      <name val="Century"/>
      <family val="1"/>
    </font>
    <font>
      <b/>
      <sz val="9"/>
      <color theme="1"/>
      <name val="Century"/>
      <family val="1"/>
    </font>
    <font>
      <sz val="10.5"/>
      <color theme="1"/>
      <name val="Century"/>
      <family val="1"/>
    </font>
    <font>
      <sz val="8"/>
      <name val="Century"/>
      <family val="1"/>
    </font>
    <font>
      <sz val="10"/>
      <name val="Century"/>
      <family val="1"/>
    </font>
    <font>
      <b/>
      <sz val="10"/>
      <name val="Century"/>
      <family val="1"/>
    </font>
    <font>
      <b/>
      <sz val="8"/>
      <color theme="1"/>
      <name val="Century"/>
      <family val="1"/>
    </font>
    <font>
      <vertAlign val="superscript"/>
      <sz val="10"/>
      <name val="Century"/>
      <family val="1"/>
    </font>
    <font>
      <sz val="10"/>
      <color theme="1"/>
      <name val="Calibri"/>
      <family val="2"/>
      <scheme val="minor"/>
    </font>
    <font>
      <sz val="20"/>
      <color theme="1"/>
      <name val="Century"/>
      <family val="1"/>
    </font>
    <font>
      <b/>
      <sz val="10.5"/>
      <color theme="1"/>
      <name val="Century"/>
      <family val="1"/>
    </font>
    <font>
      <sz val="12"/>
      <color theme="1"/>
      <name val="Calibri"/>
      <family val="2"/>
      <scheme val="minor"/>
    </font>
    <font>
      <sz val="12"/>
      <name val="Arial"/>
      <family val="2"/>
    </font>
    <font>
      <sz val="20"/>
      <color theme="1"/>
      <name val="Calibri"/>
      <family val="2"/>
      <scheme val="minor"/>
    </font>
    <font>
      <b/>
      <sz val="14"/>
      <color theme="1"/>
      <name val="Calibri"/>
      <family val="2"/>
      <scheme val="minor"/>
    </font>
    <font>
      <b/>
      <sz val="11"/>
      <color theme="1"/>
      <name val="Times New Roman"/>
      <family val="1"/>
    </font>
    <font>
      <sz val="9"/>
      <color theme="1"/>
      <name val="Times New Roman"/>
      <family val="1"/>
    </font>
    <font>
      <sz val="12"/>
      <color theme="1"/>
      <name val="Century"/>
      <family val="1"/>
    </font>
    <font>
      <b/>
      <vertAlign val="superscript"/>
      <sz val="10"/>
      <name val="Century"/>
      <family val="1"/>
    </font>
    <font>
      <sz val="24"/>
      <color theme="1"/>
      <name val="Century"/>
      <family val="1"/>
    </font>
    <font>
      <sz val="9"/>
      <color theme="1"/>
      <name val="Calibri"/>
      <family val="2"/>
      <scheme val="minor"/>
    </font>
    <font>
      <sz val="26"/>
      <color theme="1"/>
      <name val="Century"/>
      <family val="1"/>
    </font>
    <font>
      <sz val="22"/>
      <color theme="1"/>
      <name val="Century"/>
      <family val="1"/>
    </font>
    <font>
      <b/>
      <sz val="14"/>
      <color theme="1"/>
      <name val="Century"/>
      <family val="1"/>
    </font>
    <font>
      <b/>
      <sz val="9"/>
      <color theme="1"/>
      <name val="Calibri"/>
      <family val="2"/>
      <scheme val="minor"/>
    </font>
    <font>
      <sz val="16"/>
      <color theme="1"/>
      <name val="Calibri"/>
      <family val="2"/>
      <scheme val="minor"/>
    </font>
    <font>
      <b/>
      <sz val="16"/>
      <color theme="1"/>
      <name val="Calibri"/>
      <family val="2"/>
      <scheme val="minor"/>
    </font>
    <font>
      <b/>
      <sz val="10"/>
      <color theme="1"/>
      <name val="Calibri"/>
      <family val="2"/>
      <scheme val="minor"/>
    </font>
    <font>
      <b/>
      <sz val="9"/>
      <color theme="1"/>
      <name val="Arial"/>
      <family val="2"/>
    </font>
    <font>
      <sz val="9"/>
      <color theme="1"/>
      <name val="Arial"/>
      <family val="2"/>
    </font>
    <font>
      <sz val="9"/>
      <color indexed="8"/>
      <name val="Tahoma"/>
      <family val="2"/>
    </font>
    <font>
      <sz val="9"/>
      <color indexed="8"/>
      <name val="Calibri"/>
      <family val="2"/>
      <scheme val="minor"/>
    </font>
    <font>
      <b/>
      <sz val="9"/>
      <color theme="1"/>
      <name val="Calibri"/>
      <family val="2"/>
    </font>
    <font>
      <sz val="11"/>
      <color theme="1"/>
      <name val="Arial"/>
      <family val="2"/>
    </font>
    <font>
      <b/>
      <sz val="11"/>
      <color theme="1"/>
      <name val="Arial"/>
      <family val="2"/>
    </font>
    <font>
      <sz val="10"/>
      <color indexed="8"/>
      <name val="Calibri"/>
      <family val="2"/>
      <scheme val="minor"/>
    </font>
    <font>
      <b/>
      <sz val="8"/>
      <color theme="1"/>
      <name val="Arial"/>
      <family val="2"/>
    </font>
    <font>
      <sz val="8"/>
      <name val="Arial"/>
      <family val="2"/>
    </font>
    <font>
      <sz val="8"/>
      <color theme="1"/>
      <name val="Arial"/>
      <family val="2"/>
    </font>
    <font>
      <b/>
      <sz val="11"/>
      <name val="Arial"/>
      <family val="2"/>
    </font>
    <font>
      <sz val="10"/>
      <name val="Tahoma"/>
      <family val="2"/>
    </font>
  </fonts>
  <fills count="7">
    <fill>
      <patternFill patternType="none"/>
    </fill>
    <fill>
      <patternFill patternType="gray125"/>
    </fill>
    <fill>
      <patternFill patternType="solid">
        <fgColor theme="1" tint="0.499984740745262"/>
        <bgColor indexed="64"/>
      </patternFill>
    </fill>
    <fill>
      <patternFill patternType="solid">
        <fgColor theme="1" tint="0.34998626667073579"/>
        <bgColor indexed="64"/>
      </patternFill>
    </fill>
    <fill>
      <patternFill patternType="solid">
        <fgColor theme="0"/>
        <bgColor indexed="64"/>
      </patternFill>
    </fill>
    <fill>
      <patternFill patternType="solid">
        <fgColor rgb="FFA6A6A6"/>
        <bgColor indexed="64"/>
      </patternFill>
    </fill>
    <fill>
      <patternFill patternType="solid">
        <fgColor theme="2" tint="-0.249977111117893"/>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4">
    <xf numFmtId="0" fontId="0" fillId="0" borderId="0"/>
    <xf numFmtId="0" fontId="7" fillId="0" borderId="0"/>
    <xf numFmtId="0" fontId="7" fillId="0" borderId="0"/>
    <xf numFmtId="43" fontId="9" fillId="0" borderId="0" applyFont="0" applyFill="0" applyBorder="0" applyAlignment="0" applyProtection="0"/>
  </cellStyleXfs>
  <cellXfs count="301">
    <xf numFmtId="0" fontId="0" fillId="0" borderId="0" xfId="0"/>
    <xf numFmtId="0" fontId="4" fillId="0" borderId="5" xfId="0" applyFont="1" applyBorder="1" applyAlignment="1">
      <alignment horizontal="center" vertical="center" wrapText="1"/>
    </xf>
    <xf numFmtId="0" fontId="4" fillId="0" borderId="4" xfId="0" applyFont="1" applyBorder="1" applyAlignment="1">
      <alignment vertical="center" wrapText="1"/>
    </xf>
    <xf numFmtId="2" fontId="5" fillId="0" borderId="4" xfId="0" applyNumberFormat="1" applyFont="1" applyBorder="1" applyAlignment="1">
      <alignment horizontal="center" vertical="center"/>
    </xf>
    <xf numFmtId="0" fontId="4" fillId="0" borderId="4" xfId="0" applyFont="1" applyBorder="1" applyAlignment="1">
      <alignment horizontal="center" vertical="center"/>
    </xf>
    <xf numFmtId="0" fontId="5" fillId="0" borderId="4" xfId="0" applyFont="1" applyBorder="1" applyAlignment="1">
      <alignment horizontal="center" vertical="center"/>
    </xf>
    <xf numFmtId="0" fontId="6" fillId="0" borderId="4" xfId="0" applyFont="1" applyBorder="1" applyAlignment="1">
      <alignment horizontal="center" vertical="center" wrapText="1"/>
    </xf>
    <xf numFmtId="2" fontId="5" fillId="0" borderId="4" xfId="1" applyNumberFormat="1" applyFont="1" applyFill="1" applyBorder="1" applyAlignment="1">
      <alignment horizontal="center" vertical="center"/>
    </xf>
    <xf numFmtId="2" fontId="4" fillId="0" borderId="4" xfId="1" applyNumberFormat="1" applyFont="1" applyFill="1" applyBorder="1" applyAlignment="1">
      <alignment horizontal="center" vertical="center"/>
    </xf>
    <xf numFmtId="164" fontId="4" fillId="0" borderId="4" xfId="0" applyNumberFormat="1" applyFont="1" applyBorder="1" applyAlignment="1">
      <alignment horizontal="center" vertical="center"/>
    </xf>
    <xf numFmtId="2" fontId="4" fillId="0" borderId="4" xfId="0" applyNumberFormat="1" applyFont="1" applyBorder="1" applyAlignment="1">
      <alignment horizontal="center" vertical="center"/>
    </xf>
    <xf numFmtId="0" fontId="8" fillId="0"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4" xfId="0" applyFont="1" applyBorder="1" applyAlignment="1">
      <alignment horizontal="left" vertical="top" wrapText="1"/>
    </xf>
    <xf numFmtId="0" fontId="4" fillId="0" borderId="4" xfId="0" applyFont="1" applyBorder="1" applyAlignment="1">
      <alignment horizontal="left" vertical="top"/>
    </xf>
    <xf numFmtId="0" fontId="4" fillId="0" borderId="4" xfId="0" applyFont="1" applyBorder="1" applyAlignment="1">
      <alignment horizontal="center" vertical="center" wrapText="1"/>
    </xf>
    <xf numFmtId="0" fontId="4" fillId="0" borderId="4" xfId="0" applyFont="1" applyBorder="1" applyAlignment="1">
      <alignment horizontal="center"/>
    </xf>
    <xf numFmtId="2" fontId="5" fillId="0" borderId="4" xfId="0" applyNumberFormat="1" applyFont="1" applyBorder="1" applyAlignment="1">
      <alignment horizontal="center" vertical="top"/>
    </xf>
    <xf numFmtId="0" fontId="4" fillId="0" borderId="0" xfId="0" applyFont="1" applyBorder="1" applyAlignment="1">
      <alignment horizontal="center" vertical="center"/>
    </xf>
    <xf numFmtId="0" fontId="4" fillId="0" borderId="0" xfId="0" applyFont="1" applyBorder="1" applyAlignment="1">
      <alignment horizontal="center"/>
    </xf>
    <xf numFmtId="0" fontId="11" fillId="0" borderId="0" xfId="0" applyFont="1"/>
    <xf numFmtId="0" fontId="16" fillId="0" borderId="4" xfId="0" applyFont="1" applyBorder="1" applyAlignment="1">
      <alignment horizontal="center" vertical="center" wrapText="1"/>
    </xf>
    <xf numFmtId="0" fontId="16" fillId="0" borderId="7" xfId="0" applyFont="1" applyBorder="1" applyAlignment="1">
      <alignment horizontal="center" vertical="center" wrapText="1"/>
    </xf>
    <xf numFmtId="0" fontId="17" fillId="0" borderId="4" xfId="0" applyFont="1" applyBorder="1" applyAlignment="1">
      <alignment horizontal="center" vertical="center" wrapText="1"/>
    </xf>
    <xf numFmtId="0" fontId="18" fillId="0" borderId="4" xfId="0" applyFont="1" applyBorder="1" applyAlignment="1">
      <alignment vertical="top" wrapText="1"/>
    </xf>
    <xf numFmtId="2" fontId="19" fillId="0" borderId="4" xfId="0" applyNumberFormat="1" applyFont="1" applyBorder="1" applyAlignment="1">
      <alignment horizontal="center" vertical="center"/>
    </xf>
    <xf numFmtId="0" fontId="19" fillId="0" borderId="4" xfId="0" applyFont="1" applyBorder="1" applyAlignment="1">
      <alignment horizontal="center" vertical="center"/>
    </xf>
    <xf numFmtId="0" fontId="20" fillId="0" borderId="4" xfId="0" applyFont="1" applyBorder="1" applyAlignment="1">
      <alignment horizontal="center" vertical="center"/>
    </xf>
    <xf numFmtId="0" fontId="21" fillId="0" borderId="4" xfId="0" applyFont="1" applyBorder="1" applyAlignment="1">
      <alignment vertical="top" wrapText="1"/>
    </xf>
    <xf numFmtId="0" fontId="19" fillId="0" borderId="4" xfId="0" applyFont="1" applyBorder="1" applyAlignment="1">
      <alignment horizontal="center" vertical="center" wrapText="1"/>
    </xf>
    <xf numFmtId="0" fontId="20" fillId="0" borderId="4" xfId="0" applyFont="1" applyBorder="1" applyAlignment="1">
      <alignment horizontal="center" vertical="center" wrapText="1"/>
    </xf>
    <xf numFmtId="2" fontId="19" fillId="0" borderId="4" xfId="0" applyNumberFormat="1" applyFont="1" applyBorder="1" applyAlignment="1">
      <alignment horizontal="center" vertical="center" wrapText="1"/>
    </xf>
    <xf numFmtId="0" fontId="18" fillId="0" borderId="4" xfId="0" applyFont="1" applyBorder="1" applyAlignment="1">
      <alignment horizontal="left" vertical="top" wrapText="1"/>
    </xf>
    <xf numFmtId="2" fontId="20" fillId="0" borderId="4" xfId="0" applyNumberFormat="1" applyFont="1" applyBorder="1" applyAlignment="1">
      <alignment horizontal="center" vertical="center" wrapText="1"/>
    </xf>
    <xf numFmtId="0" fontId="18" fillId="0" borderId="4" xfId="0" applyNumberFormat="1" applyFont="1" applyBorder="1" applyAlignment="1">
      <alignment horizontal="left" vertical="top" wrapText="1"/>
    </xf>
    <xf numFmtId="2" fontId="18" fillId="0" borderId="4" xfId="0" applyNumberFormat="1" applyFont="1" applyBorder="1" applyAlignment="1">
      <alignment horizontal="center" vertical="center" wrapText="1"/>
    </xf>
    <xf numFmtId="0" fontId="18" fillId="0" borderId="4" xfId="0" applyFont="1" applyBorder="1" applyAlignment="1">
      <alignment horizontal="center" vertical="center" wrapText="1"/>
    </xf>
    <xf numFmtId="2" fontId="20" fillId="0" borderId="4" xfId="0" applyNumberFormat="1" applyFont="1" applyBorder="1" applyAlignment="1">
      <alignment horizontal="center" vertical="center"/>
    </xf>
    <xf numFmtId="0" fontId="21" fillId="0" borderId="4" xfId="0" applyFont="1" applyBorder="1" applyAlignment="1">
      <alignment horizontal="center" vertical="center"/>
    </xf>
    <xf numFmtId="2" fontId="21" fillId="0" borderId="4" xfId="0" applyNumberFormat="1" applyFont="1" applyBorder="1" applyAlignment="1">
      <alignment horizontal="center" vertical="center"/>
    </xf>
    <xf numFmtId="0" fontId="19" fillId="0" borderId="4" xfId="0" applyFont="1" applyBorder="1" applyAlignment="1">
      <alignment horizontal="left" vertical="top" wrapText="1"/>
    </xf>
    <xf numFmtId="0" fontId="18" fillId="0" borderId="4" xfId="0" applyFont="1" applyBorder="1" applyAlignment="1">
      <alignment vertical="center"/>
    </xf>
    <xf numFmtId="0" fontId="17" fillId="0" borderId="4" xfId="0" applyFont="1" applyFill="1" applyBorder="1" applyAlignment="1">
      <alignment horizontal="center" vertical="center" wrapText="1"/>
    </xf>
    <xf numFmtId="0" fontId="21" fillId="0" borderId="4" xfId="0" applyFont="1" applyBorder="1" applyAlignment="1">
      <alignment horizontal="left" vertical="top" wrapText="1"/>
    </xf>
    <xf numFmtId="0" fontId="10" fillId="0" borderId="4" xfId="0" applyFont="1" applyBorder="1" applyAlignment="1">
      <alignment horizontal="center" vertical="center"/>
    </xf>
    <xf numFmtId="2" fontId="10" fillId="0" borderId="4" xfId="0" applyNumberFormat="1" applyFont="1" applyBorder="1" applyAlignment="1">
      <alignment horizontal="center" vertical="center"/>
    </xf>
    <xf numFmtId="0" fontId="18" fillId="0" borderId="4" xfId="0" applyFont="1" applyBorder="1" applyAlignment="1">
      <alignment horizontal="right" vertical="center" wrapText="1"/>
    </xf>
    <xf numFmtId="0" fontId="22" fillId="0" borderId="4" xfId="0" applyFont="1" applyBorder="1" applyAlignment="1">
      <alignment horizontal="center" wrapText="1"/>
    </xf>
    <xf numFmtId="165" fontId="23" fillId="0" borderId="4" xfId="3" applyNumberFormat="1" applyFont="1" applyBorder="1" applyAlignment="1">
      <alignment horizontal="center" wrapText="1"/>
    </xf>
    <xf numFmtId="0" fontId="22" fillId="0" borderId="0" xfId="0" applyFont="1" applyBorder="1" applyAlignment="1">
      <alignment horizontal="center" wrapText="1"/>
    </xf>
    <xf numFmtId="0" fontId="24" fillId="0" borderId="0" xfId="0" applyFont="1"/>
    <xf numFmtId="165" fontId="23" fillId="0" borderId="4" xfId="0" applyNumberFormat="1" applyFont="1" applyBorder="1"/>
    <xf numFmtId="0" fontId="18" fillId="0" borderId="0" xfId="0" applyFont="1"/>
    <xf numFmtId="0" fontId="18" fillId="0" borderId="4" xfId="0" applyFont="1" applyBorder="1"/>
    <xf numFmtId="0" fontId="23" fillId="0" borderId="4" xfId="0" applyFont="1" applyBorder="1"/>
    <xf numFmtId="0" fontId="25" fillId="0" borderId="4" xfId="0" applyFont="1" applyBorder="1" applyAlignment="1">
      <alignment horizontal="center" vertical="center" wrapText="1"/>
    </xf>
    <xf numFmtId="0" fontId="25" fillId="0" borderId="4" xfId="0" applyFont="1" applyBorder="1" applyAlignment="1">
      <alignment vertical="top" wrapText="1"/>
    </xf>
    <xf numFmtId="2" fontId="26" fillId="0" borderId="4" xfId="0" applyNumberFormat="1" applyFont="1" applyBorder="1" applyAlignment="1">
      <alignment horizontal="center" vertical="center"/>
    </xf>
    <xf numFmtId="0" fontId="26" fillId="0" borderId="4" xfId="0" applyFont="1" applyBorder="1" applyAlignment="1">
      <alignment horizontal="center" vertical="center"/>
    </xf>
    <xf numFmtId="0" fontId="27" fillId="0" borderId="4" xfId="0" applyFont="1" applyBorder="1" applyAlignment="1">
      <alignment vertical="top" wrapText="1"/>
    </xf>
    <xf numFmtId="2" fontId="6" fillId="0" borderId="4" xfId="0" applyNumberFormat="1" applyFont="1" applyBorder="1" applyAlignment="1">
      <alignment horizontal="center" vertical="center" wrapText="1"/>
    </xf>
    <xf numFmtId="0" fontId="28" fillId="0" borderId="4" xfId="0" applyFont="1" applyBorder="1" applyAlignment="1">
      <alignment horizontal="left" vertical="top" wrapText="1"/>
    </xf>
    <xf numFmtId="0" fontId="28" fillId="0" borderId="4" xfId="0" applyFont="1" applyBorder="1" applyAlignment="1">
      <alignment horizontal="center" vertical="center" wrapText="1"/>
    </xf>
    <xf numFmtId="2" fontId="29" fillId="0" borderId="4" xfId="0" applyNumberFormat="1" applyFont="1" applyBorder="1" applyAlignment="1">
      <alignment horizontal="center" vertical="center"/>
    </xf>
    <xf numFmtId="0" fontId="6" fillId="0" borderId="4" xfId="0" applyFont="1" applyBorder="1" applyAlignment="1">
      <alignment vertical="center" wrapText="1"/>
    </xf>
    <xf numFmtId="0" fontId="30" fillId="0" borderId="4" xfId="0" applyFont="1" applyBorder="1" applyAlignment="1">
      <alignment vertical="center"/>
    </xf>
    <xf numFmtId="2" fontId="29" fillId="0" borderId="4" xfId="0" applyNumberFormat="1" applyFont="1" applyBorder="1" applyAlignment="1">
      <alignment vertical="center"/>
    </xf>
    <xf numFmtId="0" fontId="8" fillId="0" borderId="5" xfId="0" applyFont="1" applyBorder="1" applyAlignment="1">
      <alignment horizontal="center" vertical="center" wrapText="1"/>
    </xf>
    <xf numFmtId="0" fontId="8" fillId="0" borderId="5" xfId="0" applyFont="1" applyBorder="1" applyAlignment="1">
      <alignment vertical="top" wrapText="1"/>
    </xf>
    <xf numFmtId="2" fontId="6" fillId="0" borderId="4" xfId="0" applyNumberFormat="1" applyFont="1" applyBorder="1" applyAlignment="1">
      <alignment vertical="center" wrapText="1"/>
    </xf>
    <xf numFmtId="2" fontId="31" fillId="0" borderId="4" xfId="0" applyNumberFormat="1" applyFont="1" applyBorder="1" applyAlignment="1">
      <alignment vertical="center" wrapText="1"/>
    </xf>
    <xf numFmtId="0" fontId="0" fillId="0" borderId="0" xfId="0" applyAlignment="1">
      <alignment vertical="center"/>
    </xf>
    <xf numFmtId="0" fontId="8" fillId="0" borderId="4" xfId="0" applyFont="1" applyBorder="1" applyAlignment="1">
      <alignment vertical="center" wrapText="1"/>
    </xf>
    <xf numFmtId="0" fontId="8" fillId="0" borderId="4" xfId="0" applyFont="1" applyBorder="1" applyAlignment="1">
      <alignment vertical="top" wrapText="1"/>
    </xf>
    <xf numFmtId="2" fontId="6" fillId="0" borderId="4" xfId="0" applyNumberFormat="1" applyFont="1" applyBorder="1" applyAlignment="1">
      <alignment horizontal="center" vertical="center"/>
    </xf>
    <xf numFmtId="0" fontId="8" fillId="0" borderId="4" xfId="0" applyFont="1" applyBorder="1" applyAlignment="1">
      <alignment vertical="center"/>
    </xf>
    <xf numFmtId="2" fontId="8" fillId="0" borderId="4" xfId="0" applyNumberFormat="1" applyFont="1" applyBorder="1" applyAlignment="1">
      <alignment vertical="center"/>
    </xf>
    <xf numFmtId="0" fontId="20" fillId="0" borderId="4" xfId="0" applyFont="1" applyBorder="1" applyAlignment="1">
      <alignment horizontal="center" vertical="top" wrapText="1"/>
    </xf>
    <xf numFmtId="0" fontId="29" fillId="0" borderId="4" xfId="0" applyFont="1" applyBorder="1" applyAlignment="1">
      <alignment vertical="center"/>
    </xf>
    <xf numFmtId="0" fontId="10" fillId="0" borderId="4" xfId="0" applyFont="1" applyBorder="1" applyAlignment="1">
      <alignment vertical="center"/>
    </xf>
    <xf numFmtId="2" fontId="10" fillId="0" borderId="4" xfId="0" applyNumberFormat="1" applyFont="1" applyBorder="1" applyAlignment="1">
      <alignment vertical="center"/>
    </xf>
    <xf numFmtId="166" fontId="6" fillId="0" borderId="4" xfId="0" applyNumberFormat="1" applyFont="1" applyBorder="1" applyAlignment="1">
      <alignment vertical="center" wrapText="1"/>
    </xf>
    <xf numFmtId="0" fontId="8" fillId="0" borderId="4" xfId="0" applyFont="1" applyBorder="1" applyAlignment="1">
      <alignment horizontal="center" wrapText="1"/>
    </xf>
    <xf numFmtId="0" fontId="6" fillId="0" borderId="4" xfId="0" applyFont="1" applyBorder="1" applyAlignment="1">
      <alignment horizontal="center" wrapText="1"/>
    </xf>
    <xf numFmtId="2" fontId="10" fillId="0" borderId="4" xfId="0" applyNumberFormat="1" applyFont="1" applyBorder="1" applyAlignment="1">
      <alignment horizontal="center"/>
    </xf>
    <xf numFmtId="2" fontId="6" fillId="0" borderId="4" xfId="0" applyNumberFormat="1" applyFont="1" applyBorder="1" applyAlignment="1">
      <alignment horizontal="center" wrapText="1"/>
    </xf>
    <xf numFmtId="0" fontId="8" fillId="0" borderId="0" xfId="0" applyFont="1"/>
    <xf numFmtId="0" fontId="33" fillId="0" borderId="0" xfId="0" applyFont="1"/>
    <xf numFmtId="0" fontId="21" fillId="0" borderId="0" xfId="0" applyFont="1" applyAlignment="1"/>
    <xf numFmtId="0" fontId="8" fillId="0" borderId="4" xfId="0" applyFont="1" applyBorder="1" applyAlignment="1">
      <alignment horizontal="center" vertical="center"/>
    </xf>
    <xf numFmtId="0" fontId="0" fillId="0" borderId="4" xfId="0" applyBorder="1" applyAlignment="1">
      <alignment horizontal="center" vertical="center" wrapText="1"/>
    </xf>
    <xf numFmtId="0" fontId="6" fillId="0" borderId="4" xfId="0" applyFont="1" applyBorder="1" applyAlignment="1">
      <alignment horizontal="center" vertical="center"/>
    </xf>
    <xf numFmtId="0" fontId="36" fillId="4" borderId="4" xfId="0" applyFont="1" applyFill="1" applyBorder="1" applyAlignment="1">
      <alignment horizontal="center"/>
    </xf>
    <xf numFmtId="0" fontId="37" fillId="4" borderId="4" xfId="0" applyFont="1" applyFill="1" applyBorder="1"/>
    <xf numFmtId="2" fontId="3" fillId="4" borderId="4" xfId="0" applyNumberFormat="1" applyFont="1" applyFill="1" applyBorder="1" applyAlignment="1">
      <alignment horizontal="center"/>
    </xf>
    <xf numFmtId="0" fontId="3" fillId="4" borderId="4" xfId="0" applyFont="1" applyFill="1" applyBorder="1" applyAlignment="1">
      <alignment horizontal="center"/>
    </xf>
    <xf numFmtId="0" fontId="8" fillId="0" borderId="4" xfId="0" applyFont="1" applyBorder="1" applyAlignment="1">
      <alignment vertical="top"/>
    </xf>
    <xf numFmtId="0" fontId="29" fillId="0" borderId="4" xfId="0" applyFont="1" applyBorder="1" applyAlignment="1">
      <alignment horizontal="center"/>
    </xf>
    <xf numFmtId="0" fontId="10" fillId="0" borderId="4" xfId="0" applyFont="1" applyBorder="1" applyAlignment="1">
      <alignment horizontal="center"/>
    </xf>
    <xf numFmtId="2" fontId="6" fillId="0" borderId="4" xfId="0" applyNumberFormat="1" applyFont="1" applyBorder="1" applyAlignment="1">
      <alignment horizontal="center" vertical="top"/>
    </xf>
    <xf numFmtId="0" fontId="8" fillId="0" borderId="1" xfId="0" applyFont="1" applyBorder="1" applyAlignment="1">
      <alignment horizontal="right" vertical="top"/>
    </xf>
    <xf numFmtId="0" fontId="8" fillId="0" borderId="2" xfId="0" applyFont="1" applyBorder="1" applyAlignment="1">
      <alignment horizontal="right" vertical="top"/>
    </xf>
    <xf numFmtId="0" fontId="8" fillId="0" borderId="3" xfId="0" applyFont="1" applyBorder="1" applyAlignment="1">
      <alignment horizontal="right" vertical="top"/>
    </xf>
    <xf numFmtId="0" fontId="0" fillId="0" borderId="0" xfId="0" applyAlignment="1">
      <alignment horizontal="center" vertical="center"/>
    </xf>
    <xf numFmtId="0" fontId="41" fillId="5" borderId="4" xfId="0" applyFont="1" applyFill="1" applyBorder="1" applyAlignment="1">
      <alignment horizontal="center" vertical="center" wrapText="1"/>
    </xf>
    <xf numFmtId="0" fontId="10" fillId="0" borderId="4" xfId="0" applyFont="1" applyBorder="1" applyAlignment="1">
      <alignment horizontal="center" vertical="center" wrapText="1"/>
    </xf>
    <xf numFmtId="0" fontId="0" fillId="0" borderId="4" xfId="0" applyBorder="1" applyAlignment="1">
      <alignment horizontal="center" vertical="center"/>
    </xf>
    <xf numFmtId="2" fontId="10" fillId="0" borderId="4" xfId="0" applyNumberFormat="1" applyFont="1" applyBorder="1" applyAlignment="1">
      <alignment horizontal="center" vertical="center" wrapText="1"/>
    </xf>
    <xf numFmtId="0" fontId="10" fillId="0" borderId="0" xfId="0" applyFont="1" applyAlignment="1">
      <alignment horizontal="center" vertical="center"/>
    </xf>
    <xf numFmtId="0" fontId="8" fillId="0" borderId="4" xfId="0" applyFont="1" applyBorder="1"/>
    <xf numFmtId="2" fontId="8" fillId="0" borderId="4" xfId="0" applyNumberFormat="1" applyFont="1" applyBorder="1" applyAlignment="1">
      <alignment horizontal="center" vertical="center"/>
    </xf>
    <xf numFmtId="0" fontId="16" fillId="0" borderId="4" xfId="0" applyFont="1" applyBorder="1" applyAlignment="1">
      <alignment vertical="top"/>
    </xf>
    <xf numFmtId="0" fontId="8" fillId="0" borderId="4" xfId="0" applyFont="1" applyFill="1" applyBorder="1" applyAlignment="1">
      <alignment horizontal="center" vertical="top" wrapText="1"/>
    </xf>
    <xf numFmtId="0" fontId="29" fillId="0" borderId="4" xfId="0" applyFont="1" applyBorder="1" applyAlignment="1">
      <alignment horizontal="center" vertical="center"/>
    </xf>
    <xf numFmtId="0" fontId="8" fillId="0" borderId="4" xfId="0" applyFont="1" applyBorder="1" applyAlignment="1">
      <alignment horizontal="center" vertical="top" wrapText="1"/>
    </xf>
    <xf numFmtId="0" fontId="33" fillId="0" borderId="0" xfId="0" applyFont="1" applyAlignment="1"/>
    <xf numFmtId="2" fontId="33" fillId="0" borderId="0" xfId="0" applyNumberFormat="1" applyFont="1"/>
    <xf numFmtId="0" fontId="6" fillId="0" borderId="4" xfId="0" applyFont="1" applyBorder="1" applyAlignment="1">
      <alignment horizontal="left" vertical="center" wrapText="1"/>
    </xf>
    <xf numFmtId="2" fontId="26" fillId="0" borderId="4" xfId="0" applyNumberFormat="1" applyFont="1" applyBorder="1" applyAlignment="1">
      <alignment horizontal="left" vertical="center"/>
    </xf>
    <xf numFmtId="2" fontId="30" fillId="0" borderId="4" xfId="0" applyNumberFormat="1" applyFont="1" applyBorder="1" applyAlignment="1">
      <alignment horizontal="center" vertical="center"/>
    </xf>
    <xf numFmtId="0" fontId="30" fillId="0" borderId="4" xfId="0" applyFont="1" applyBorder="1" applyAlignment="1">
      <alignment horizontal="center" vertical="center"/>
    </xf>
    <xf numFmtId="0" fontId="8" fillId="0" borderId="5" xfId="0" applyFont="1" applyBorder="1" applyAlignment="1">
      <alignment vertical="center" wrapText="1"/>
    </xf>
    <xf numFmtId="166" fontId="6" fillId="0" borderId="4" xfId="0" applyNumberFormat="1" applyFont="1" applyBorder="1" applyAlignment="1">
      <alignment horizontal="center" vertical="center" wrapText="1"/>
    </xf>
    <xf numFmtId="2" fontId="6" fillId="0" borderId="0" xfId="0" applyNumberFormat="1" applyFont="1" applyBorder="1" applyAlignment="1">
      <alignment horizontal="center" vertical="center" wrapText="1"/>
    </xf>
    <xf numFmtId="164" fontId="6" fillId="0" borderId="4" xfId="0" applyNumberFormat="1" applyFont="1" applyBorder="1" applyAlignment="1">
      <alignment horizontal="center" vertical="center" wrapText="1"/>
    </xf>
    <xf numFmtId="0" fontId="21" fillId="0" borderId="4" xfId="0" applyFont="1" applyBorder="1" applyAlignment="1">
      <alignment horizontal="center" vertical="top" wrapText="1"/>
    </xf>
    <xf numFmtId="2" fontId="31" fillId="0" borderId="4" xfId="0" applyNumberFormat="1" applyFont="1" applyBorder="1" applyAlignment="1"/>
    <xf numFmtId="0" fontId="45" fillId="0" borderId="0" xfId="0" applyFont="1"/>
    <xf numFmtId="0" fontId="46" fillId="0" borderId="0" xfId="0" applyFont="1" applyAlignment="1">
      <alignment horizontal="center" vertical="center" wrapText="1"/>
    </xf>
    <xf numFmtId="0" fontId="6" fillId="0" borderId="4" xfId="0" applyFont="1" applyBorder="1" applyAlignment="1">
      <alignment horizontal="center" vertical="top" wrapText="1"/>
    </xf>
    <xf numFmtId="0" fontId="0" fillId="0" borderId="4" xfId="0" applyBorder="1" applyAlignment="1">
      <alignment vertical="center" wrapText="1"/>
    </xf>
    <xf numFmtId="0" fontId="48" fillId="0" borderId="4" xfId="0" applyFont="1" applyBorder="1"/>
    <xf numFmtId="0" fontId="33" fillId="0" borderId="4" xfId="0" applyFont="1" applyBorder="1"/>
    <xf numFmtId="0" fontId="6" fillId="0" borderId="4" xfId="0" applyFont="1" applyBorder="1"/>
    <xf numFmtId="0" fontId="25" fillId="0" borderId="0" xfId="0" applyFont="1"/>
    <xf numFmtId="0" fontId="0" fillId="0" borderId="0" xfId="0" applyAlignment="1">
      <alignment horizontal="center"/>
    </xf>
    <xf numFmtId="0" fontId="49" fillId="0" borderId="0" xfId="0" applyFont="1"/>
    <xf numFmtId="0" fontId="50" fillId="0" borderId="0" xfId="0" applyFont="1" applyAlignment="1">
      <alignment horizontal="center"/>
    </xf>
    <xf numFmtId="1" fontId="10" fillId="0" borderId="4" xfId="0" applyNumberFormat="1" applyFont="1" applyBorder="1" applyAlignment="1">
      <alignment horizontal="center" vertical="center" wrapText="1"/>
    </xf>
    <xf numFmtId="1" fontId="10" fillId="0" borderId="4" xfId="0" applyNumberFormat="1" applyFont="1" applyBorder="1" applyAlignment="1">
      <alignment horizontal="center" vertical="center"/>
    </xf>
    <xf numFmtId="1" fontId="10" fillId="0" borderId="0" xfId="0" applyNumberFormat="1" applyFont="1" applyAlignment="1">
      <alignment horizontal="center" vertical="center"/>
    </xf>
    <xf numFmtId="0" fontId="10" fillId="0" borderId="0" xfId="0" applyFont="1" applyAlignment="1">
      <alignment horizontal="center" vertical="center" wrapText="1"/>
    </xf>
    <xf numFmtId="1" fontId="10" fillId="0" borderId="0" xfId="0" applyNumberFormat="1" applyFont="1" applyAlignment="1">
      <alignment horizontal="center" vertical="center" wrapText="1"/>
    </xf>
    <xf numFmtId="2" fontId="10" fillId="0" borderId="0" xfId="0" applyNumberFormat="1" applyFont="1" applyAlignment="1">
      <alignment horizontal="center" vertical="center"/>
    </xf>
    <xf numFmtId="164" fontId="10" fillId="0" borderId="4" xfId="0" applyNumberFormat="1" applyFont="1" applyBorder="1" applyAlignment="1">
      <alignment horizontal="center" vertical="center" wrapText="1"/>
    </xf>
    <xf numFmtId="167" fontId="20" fillId="0" borderId="4" xfId="0" applyNumberFormat="1" applyFont="1" applyBorder="1" applyAlignment="1">
      <alignment horizontal="center" vertical="center" wrapText="1"/>
    </xf>
    <xf numFmtId="167" fontId="10" fillId="0" borderId="4" xfId="0" applyNumberFormat="1" applyFont="1" applyBorder="1" applyAlignment="1">
      <alignment horizontal="center" vertical="center"/>
    </xf>
    <xf numFmtId="164" fontId="10" fillId="0" borderId="4" xfId="0" applyNumberFormat="1" applyFont="1" applyBorder="1" applyAlignment="1">
      <alignment horizontal="center" vertical="center"/>
    </xf>
    <xf numFmtId="0" fontId="6" fillId="0" borderId="4" xfId="0" applyFont="1" applyBorder="1" applyAlignment="1">
      <alignment horizontal="left" vertical="top" wrapText="1"/>
    </xf>
    <xf numFmtId="167" fontId="20" fillId="0" borderId="4" xfId="0" applyNumberFormat="1" applyFont="1" applyBorder="1" applyAlignment="1">
      <alignment horizontal="center"/>
    </xf>
    <xf numFmtId="167" fontId="39" fillId="0" borderId="4" xfId="0" applyNumberFormat="1" applyFont="1" applyBorder="1" applyAlignment="1">
      <alignment horizontal="center" vertical="center"/>
    </xf>
    <xf numFmtId="167" fontId="10" fillId="0" borderId="0" xfId="0" applyNumberFormat="1" applyFont="1" applyAlignment="1">
      <alignment horizontal="center" vertical="center"/>
    </xf>
    <xf numFmtId="0" fontId="52" fillId="0" borderId="4" xfId="0" applyFont="1" applyBorder="1" applyAlignment="1">
      <alignment horizontal="center" vertical="center" wrapText="1"/>
    </xf>
    <xf numFmtId="0" fontId="52" fillId="0" borderId="4" xfId="0" applyFont="1" applyBorder="1" applyAlignment="1">
      <alignment horizontal="center" vertical="center"/>
    </xf>
    <xf numFmtId="0" fontId="53" fillId="0" borderId="4" xfId="2" applyFont="1" applyBorder="1" applyAlignment="1">
      <alignment horizontal="center" vertical="center" wrapText="1"/>
    </xf>
    <xf numFmtId="0" fontId="54" fillId="0" borderId="4" xfId="2" applyFont="1" applyBorder="1" applyAlignment="1">
      <alignment horizontal="justify" vertical="top" wrapText="1"/>
    </xf>
    <xf numFmtId="2" fontId="53" fillId="0" borderId="4" xfId="2" applyNumberFormat="1" applyFont="1" applyBorder="1" applyAlignment="1">
      <alignment horizontal="center" vertical="center" wrapText="1"/>
    </xf>
    <xf numFmtId="2" fontId="54" fillId="0" borderId="4" xfId="2" applyNumberFormat="1" applyFont="1" applyBorder="1" applyAlignment="1">
      <alignment horizontal="center" vertical="center"/>
    </xf>
    <xf numFmtId="2" fontId="53" fillId="0" borderId="4" xfId="2" applyNumberFormat="1" applyFont="1" applyBorder="1" applyAlignment="1">
      <alignment horizontal="center" vertical="center"/>
    </xf>
    <xf numFmtId="167" fontId="53" fillId="0" borderId="4" xfId="2" applyNumberFormat="1" applyFont="1" applyBorder="1" applyAlignment="1">
      <alignment horizontal="center" vertical="center"/>
    </xf>
    <xf numFmtId="0" fontId="49" fillId="0" borderId="4" xfId="0" applyFont="1" applyBorder="1" applyAlignment="1">
      <alignment horizontal="center" vertical="center" wrapText="1"/>
    </xf>
    <xf numFmtId="0" fontId="45" fillId="0" borderId="4" xfId="0" applyFont="1" applyBorder="1" applyAlignment="1">
      <alignment horizontal="justify" vertical="top" wrapText="1"/>
    </xf>
    <xf numFmtId="2" fontId="45" fillId="0" borderId="4" xfId="0" applyNumberFormat="1" applyFont="1" applyBorder="1" applyAlignment="1">
      <alignment horizontal="center" vertical="center"/>
    </xf>
    <xf numFmtId="0" fontId="9" fillId="0" borderId="0" xfId="0" applyFont="1"/>
    <xf numFmtId="0" fontId="55" fillId="4" borderId="4" xfId="0" quotePrefix="1" applyFont="1" applyFill="1" applyBorder="1" applyAlignment="1">
      <alignment horizontal="center" vertical="center" wrapText="1"/>
    </xf>
    <xf numFmtId="0" fontId="56" fillId="4" borderId="4" xfId="0" applyFont="1" applyFill="1" applyBorder="1" applyAlignment="1">
      <alignment horizontal="justify" vertical="top" wrapText="1"/>
    </xf>
    <xf numFmtId="2" fontId="45" fillId="0" borderId="4" xfId="0" applyNumberFormat="1" applyFont="1" applyBorder="1" applyAlignment="1">
      <alignment horizontal="center" vertical="center" wrapText="1"/>
    </xf>
    <xf numFmtId="0" fontId="45" fillId="0" borderId="4" xfId="0" applyFont="1" applyBorder="1" applyAlignment="1">
      <alignment horizontal="center" vertical="center" wrapText="1"/>
    </xf>
    <xf numFmtId="2" fontId="49" fillId="0" borderId="4" xfId="0" applyNumberFormat="1" applyFont="1" applyBorder="1" applyAlignment="1">
      <alignment horizontal="center" vertical="center" wrapText="1"/>
    </xf>
    <xf numFmtId="0" fontId="57" fillId="0" borderId="4" xfId="0" applyFont="1" applyBorder="1" applyAlignment="1">
      <alignment horizontal="center" vertical="top" wrapText="1"/>
    </xf>
    <xf numFmtId="0" fontId="57" fillId="0" borderId="4" xfId="0" applyFont="1" applyBorder="1" applyAlignment="1">
      <alignment horizontal="justify" vertical="top" wrapText="1"/>
    </xf>
    <xf numFmtId="2" fontId="24" fillId="0" borderId="4" xfId="0" applyNumberFormat="1" applyFont="1" applyBorder="1" applyAlignment="1">
      <alignment horizontal="center" vertical="center"/>
    </xf>
    <xf numFmtId="0" fontId="49" fillId="0" borderId="4" xfId="0" applyFont="1" applyBorder="1" applyAlignment="1">
      <alignment horizontal="center" vertical="top"/>
    </xf>
    <xf numFmtId="0" fontId="45" fillId="0" borderId="4" xfId="0" applyFont="1" applyBorder="1" applyAlignment="1">
      <alignment horizontal="justify" vertical="top"/>
    </xf>
    <xf numFmtId="2" fontId="45" fillId="0" borderId="4" xfId="0" applyNumberFormat="1" applyFont="1" applyBorder="1" applyAlignment="1">
      <alignment horizontal="justify" vertical="top"/>
    </xf>
    <xf numFmtId="0" fontId="49" fillId="0" borderId="4" xfId="0" applyFont="1" applyBorder="1" applyAlignment="1">
      <alignment horizontal="center"/>
    </xf>
    <xf numFmtId="0" fontId="49" fillId="0" borderId="4" xfId="0" applyFont="1" applyBorder="1" applyAlignment="1">
      <alignment horizontal="left" vertical="center" wrapText="1"/>
    </xf>
    <xf numFmtId="0" fontId="9" fillId="0" borderId="0" xfId="0" applyFont="1" applyAlignment="1">
      <alignment horizontal="center" vertical="center"/>
    </xf>
    <xf numFmtId="0" fontId="45" fillId="0" borderId="4" xfId="0" applyFont="1" applyBorder="1" applyAlignment="1">
      <alignment horizontal="center" vertical="center"/>
    </xf>
    <xf numFmtId="2" fontId="49" fillId="0" borderId="4" xfId="0" applyNumberFormat="1" applyFont="1" applyBorder="1" applyAlignment="1">
      <alignment horizontal="center" vertical="center"/>
    </xf>
    <xf numFmtId="0" fontId="49" fillId="0" borderId="4" xfId="0" applyFont="1" applyBorder="1"/>
    <xf numFmtId="0" fontId="49" fillId="0" borderId="4" xfId="0" applyFont="1" applyBorder="1" applyAlignment="1">
      <alignment vertical="top"/>
    </xf>
    <xf numFmtId="0" fontId="9" fillId="0" borderId="4" xfId="0" applyFont="1" applyBorder="1" applyAlignment="1">
      <alignment horizontal="center" vertical="center"/>
    </xf>
    <xf numFmtId="167" fontId="49" fillId="0" borderId="4" xfId="0" applyNumberFormat="1" applyFont="1" applyBorder="1" applyAlignment="1">
      <alignment horizontal="center" vertical="center"/>
    </xf>
    <xf numFmtId="2" fontId="9" fillId="0" borderId="0" xfId="0" applyNumberFormat="1" applyFont="1"/>
    <xf numFmtId="2" fontId="0" fillId="0" borderId="0" xfId="0" applyNumberFormat="1"/>
    <xf numFmtId="0" fontId="21" fillId="0" borderId="4" xfId="0" applyFont="1" applyBorder="1" applyAlignment="1">
      <alignment horizontal="center" vertical="center" wrapText="1"/>
    </xf>
    <xf numFmtId="0" fontId="4" fillId="0" borderId="4" xfId="0" applyFont="1" applyBorder="1" applyAlignment="1">
      <alignment horizontal="left" vertical="top" wrapText="1"/>
    </xf>
    <xf numFmtId="2" fontId="9" fillId="0" borderId="4" xfId="0" applyNumberFormat="1" applyFont="1" applyBorder="1" applyAlignment="1">
      <alignment horizontal="center" vertical="center"/>
    </xf>
    <xf numFmtId="0" fontId="5" fillId="0" borderId="4" xfId="2" applyFont="1" applyBorder="1" applyAlignment="1">
      <alignment horizontal="center" vertical="center" wrapText="1"/>
    </xf>
    <xf numFmtId="0" fontId="4" fillId="0" borderId="4" xfId="2" applyFont="1" applyBorder="1" applyAlignment="1">
      <alignment horizontal="justify" vertical="top" wrapText="1"/>
    </xf>
    <xf numFmtId="2" fontId="5" fillId="0" borderId="4" xfId="2" applyNumberFormat="1" applyFont="1" applyBorder="1" applyAlignment="1">
      <alignment horizontal="center" vertical="center" wrapText="1"/>
    </xf>
    <xf numFmtId="2" fontId="4" fillId="0" borderId="4" xfId="2" applyNumberFormat="1" applyFont="1" applyBorder="1" applyAlignment="1">
      <alignment horizontal="center" vertical="center"/>
    </xf>
    <xf numFmtId="2" fontId="5" fillId="0" borderId="4" xfId="2" applyNumberFormat="1" applyFont="1" applyBorder="1" applyAlignment="1">
      <alignment horizontal="center" vertical="center"/>
    </xf>
    <xf numFmtId="167" fontId="5" fillId="0" borderId="4" xfId="2" applyNumberFormat="1" applyFont="1" applyBorder="1" applyAlignment="1">
      <alignment horizontal="center" vertical="center"/>
    </xf>
    <xf numFmtId="2" fontId="58" fillId="0" borderId="4" xfId="2" applyNumberFormat="1" applyFont="1" applyBorder="1" applyAlignment="1">
      <alignment horizontal="center" vertical="center"/>
    </xf>
    <xf numFmtId="167" fontId="59" fillId="0" borderId="4" xfId="2" applyNumberFormat="1" applyFont="1" applyBorder="1" applyAlignment="1">
      <alignment horizontal="center" vertical="center"/>
    </xf>
    <xf numFmtId="0" fontId="33" fillId="0" borderId="4" xfId="0" applyFont="1" applyBorder="1" applyAlignment="1">
      <alignment horizontal="justify" vertical="top" wrapText="1"/>
    </xf>
    <xf numFmtId="2" fontId="33" fillId="0" borderId="4" xfId="0" applyNumberFormat="1" applyFont="1" applyBorder="1" applyAlignment="1">
      <alignment horizontal="center" vertical="center"/>
    </xf>
    <xf numFmtId="0" fontId="60" fillId="4" borderId="4" xfId="0" applyFont="1" applyFill="1" applyBorder="1" applyAlignment="1">
      <alignment horizontal="justify" vertical="top" wrapText="1"/>
    </xf>
    <xf numFmtId="0" fontId="7" fillId="0" borderId="4" xfId="2" applyFont="1" applyBorder="1" applyAlignment="1" applyProtection="1">
      <alignment horizontal="center" vertical="center"/>
      <protection locked="0"/>
    </xf>
    <xf numFmtId="0" fontId="7" fillId="0" borderId="4" xfId="2" applyFont="1" applyBorder="1" applyAlignment="1" applyProtection="1">
      <alignment horizontal="justify" vertical="top"/>
      <protection locked="0"/>
    </xf>
    <xf numFmtId="164" fontId="33" fillId="0" borderId="4" xfId="0" applyNumberFormat="1" applyFont="1" applyBorder="1" applyAlignment="1">
      <alignment horizontal="center" vertical="center"/>
    </xf>
    <xf numFmtId="2" fontId="33" fillId="0" borderId="4" xfId="0" applyNumberFormat="1" applyFont="1" applyBorder="1" applyAlignment="1">
      <alignment horizontal="center" vertical="center" wrapText="1"/>
    </xf>
    <xf numFmtId="0" fontId="33" fillId="0" borderId="4" xfId="0" applyFont="1" applyBorder="1" applyAlignment="1">
      <alignment horizontal="center" vertical="center" wrapText="1"/>
    </xf>
    <xf numFmtId="2" fontId="52" fillId="0" borderId="4" xfId="0" applyNumberFormat="1" applyFont="1" applyBorder="1" applyAlignment="1">
      <alignment horizontal="center" vertical="center" wrapText="1"/>
    </xf>
    <xf numFmtId="0" fontId="52" fillId="0" borderId="4" xfId="0" applyFont="1" applyBorder="1" applyAlignment="1">
      <alignment horizontal="center" vertical="top"/>
    </xf>
    <xf numFmtId="0" fontId="33" fillId="0" borderId="4" xfId="0" applyFont="1" applyBorder="1" applyAlignment="1">
      <alignment horizontal="justify" vertical="top"/>
    </xf>
    <xf numFmtId="2" fontId="33" fillId="0" borderId="4" xfId="0" applyNumberFormat="1" applyFont="1" applyBorder="1" applyAlignment="1">
      <alignment horizontal="justify" vertical="top"/>
    </xf>
    <xf numFmtId="0" fontId="52" fillId="0" borderId="4" xfId="0" applyFont="1" applyBorder="1" applyAlignment="1">
      <alignment horizontal="center"/>
    </xf>
    <xf numFmtId="0" fontId="52" fillId="0" borderId="4" xfId="0" applyFont="1" applyBorder="1" applyAlignment="1">
      <alignment horizontal="left" vertical="center" wrapText="1"/>
    </xf>
    <xf numFmtId="0" fontId="33" fillId="0" borderId="0" xfId="0" applyFont="1" applyAlignment="1">
      <alignment horizontal="center" vertical="center"/>
    </xf>
    <xf numFmtId="0" fontId="33" fillId="0" borderId="4" xfId="0" applyFont="1" applyBorder="1" applyAlignment="1">
      <alignment horizontal="center" vertical="center"/>
    </xf>
    <xf numFmtId="2" fontId="52" fillId="0" borderId="4" xfId="0" applyNumberFormat="1" applyFont="1" applyBorder="1" applyAlignment="1">
      <alignment horizontal="center" vertical="center"/>
    </xf>
    <xf numFmtId="0" fontId="52" fillId="0" borderId="4" xfId="0" applyFont="1" applyBorder="1"/>
    <xf numFmtId="0" fontId="52" fillId="0" borderId="4" xfId="0" applyFont="1" applyBorder="1" applyAlignment="1">
      <alignment vertical="top"/>
    </xf>
    <xf numFmtId="167" fontId="52" fillId="0" borderId="4" xfId="0" applyNumberFormat="1" applyFont="1" applyBorder="1" applyAlignment="1">
      <alignment horizontal="center" vertical="center"/>
    </xf>
    <xf numFmtId="0" fontId="61" fillId="0" borderId="4" xfId="2" applyFont="1" applyBorder="1" applyAlignment="1">
      <alignment horizontal="center" vertical="center" wrapText="1"/>
    </xf>
    <xf numFmtId="0" fontId="62" fillId="0" borderId="0" xfId="2" applyFont="1" applyAlignment="1">
      <alignment horizontal="justify" vertical="top" wrapText="1"/>
    </xf>
    <xf numFmtId="0" fontId="63" fillId="0" borderId="4" xfId="2" applyFont="1" applyBorder="1" applyAlignment="1">
      <alignment horizontal="justify" vertical="top" wrapText="1"/>
    </xf>
    <xf numFmtId="0" fontId="62" fillId="0" borderId="4" xfId="2" applyFont="1" applyBorder="1" applyAlignment="1" applyProtection="1">
      <alignment horizontal="center" vertical="center"/>
      <protection locked="0"/>
    </xf>
    <xf numFmtId="0" fontId="62" fillId="0" borderId="4" xfId="2" applyFont="1" applyBorder="1" applyAlignment="1" applyProtection="1">
      <alignment horizontal="justify" vertical="top"/>
      <protection locked="0"/>
    </xf>
    <xf numFmtId="164" fontId="45" fillId="0" borderId="4" xfId="0" applyNumberFormat="1" applyFont="1" applyBorder="1" applyAlignment="1">
      <alignment horizontal="center" vertical="center"/>
    </xf>
    <xf numFmtId="0" fontId="63" fillId="0" borderId="4" xfId="2" applyFont="1" applyBorder="1" applyAlignment="1">
      <alignment horizontal="center" vertical="center" wrapText="1"/>
    </xf>
    <xf numFmtId="0" fontId="7" fillId="4" borderId="4" xfId="0" applyFont="1" applyFill="1" applyBorder="1" applyAlignment="1">
      <alignment vertical="top" wrapText="1"/>
    </xf>
    <xf numFmtId="0" fontId="7" fillId="4" borderId="1" xfId="0" applyFont="1" applyFill="1" applyBorder="1" applyAlignment="1">
      <alignment vertical="top" wrapText="1"/>
    </xf>
    <xf numFmtId="0" fontId="7" fillId="4" borderId="4" xfId="0" applyNumberFormat="1" applyFont="1" applyFill="1" applyBorder="1" applyAlignment="1">
      <alignment vertical="top" wrapText="1"/>
    </xf>
    <xf numFmtId="2" fontId="65" fillId="4" borderId="4" xfId="0" applyNumberFormat="1" applyFont="1" applyFill="1" applyBorder="1" applyAlignment="1">
      <alignment vertical="top" wrapText="1"/>
    </xf>
    <xf numFmtId="0" fontId="16" fillId="0" borderId="4" xfId="0" applyFont="1" applyBorder="1" applyAlignment="1">
      <alignment horizontal="center"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31" fillId="0" borderId="4" xfId="0" applyFont="1" applyBorder="1" applyAlignment="1">
      <alignment horizontal="center" vertical="center" wrapText="1"/>
    </xf>
    <xf numFmtId="0" fontId="64" fillId="4" borderId="4" xfId="0" applyFont="1" applyFill="1" applyBorder="1" applyAlignment="1">
      <alignment horizontal="center" vertical="center" wrapText="1"/>
    </xf>
    <xf numFmtId="0" fontId="10" fillId="0" borderId="4" xfId="0" applyFont="1" applyBorder="1" applyAlignment="1">
      <alignment horizontal="right" vertical="center" wrapText="1"/>
    </xf>
    <xf numFmtId="0" fontId="51" fillId="0" borderId="4" xfId="0" applyFont="1" applyBorder="1" applyAlignment="1">
      <alignment horizontal="center" vertical="center"/>
    </xf>
    <xf numFmtId="0" fontId="39" fillId="0" borderId="4" xfId="0" applyFont="1" applyBorder="1" applyAlignment="1">
      <alignment horizontal="center" vertical="center"/>
    </xf>
    <xf numFmtId="0" fontId="39" fillId="0" borderId="4" xfId="0" applyFont="1" applyBorder="1" applyAlignment="1">
      <alignment horizontal="center" vertical="center" wrapText="1"/>
    </xf>
    <xf numFmtId="0" fontId="8" fillId="0" borderId="1" xfId="0" applyFont="1" applyBorder="1" applyAlignment="1">
      <alignment horizontal="right" vertical="top"/>
    </xf>
    <xf numFmtId="0" fontId="8" fillId="0" borderId="2" xfId="0" applyFont="1" applyBorder="1" applyAlignment="1">
      <alignment horizontal="right" vertical="top"/>
    </xf>
    <xf numFmtId="0" fontId="8" fillId="0" borderId="3" xfId="0" applyFont="1" applyBorder="1" applyAlignment="1">
      <alignment horizontal="right" vertical="top"/>
    </xf>
    <xf numFmtId="0" fontId="6" fillId="0" borderId="1" xfId="0" applyFont="1" applyBorder="1" applyAlignment="1">
      <alignment horizontal="right" vertical="top"/>
    </xf>
    <xf numFmtId="0" fontId="6" fillId="0" borderId="2" xfId="0" applyFont="1" applyBorder="1" applyAlignment="1">
      <alignment horizontal="right" vertical="top"/>
    </xf>
    <xf numFmtId="0" fontId="6" fillId="0" borderId="3" xfId="0" applyFont="1" applyBorder="1" applyAlignment="1">
      <alignment horizontal="right" vertical="top"/>
    </xf>
    <xf numFmtId="0" fontId="14" fillId="0" borderId="0" xfId="0" applyFont="1" applyAlignment="1">
      <alignment horizontal="center" vertical="center"/>
    </xf>
    <xf numFmtId="0" fontId="42" fillId="2" borderId="6" xfId="0" applyFont="1" applyFill="1" applyBorder="1" applyAlignment="1">
      <alignment horizontal="center" vertical="center" wrapText="1"/>
    </xf>
    <xf numFmtId="0" fontId="21" fillId="0" borderId="4" xfId="0" applyFont="1" applyBorder="1" applyAlignment="1">
      <alignment horizontal="left" vertical="top" wrapText="1"/>
    </xf>
    <xf numFmtId="0" fontId="38" fillId="0" borderId="0" xfId="0" applyFont="1"/>
    <xf numFmtId="0" fontId="14" fillId="0" borderId="0" xfId="0" applyFont="1" applyAlignment="1">
      <alignment horizontal="center"/>
    </xf>
    <xf numFmtId="0" fontId="26" fillId="0" borderId="1" xfId="0" applyFont="1" applyBorder="1" applyAlignment="1">
      <alignment horizontal="right"/>
    </xf>
    <xf numFmtId="0" fontId="26" fillId="0" borderId="2" xfId="0" applyFont="1" applyBorder="1" applyAlignment="1">
      <alignment horizontal="right"/>
    </xf>
    <xf numFmtId="0" fontId="26" fillId="0" borderId="3" xfId="0" applyFont="1" applyBorder="1" applyAlignment="1">
      <alignment horizontal="right"/>
    </xf>
    <xf numFmtId="0" fontId="14" fillId="6" borderId="0" xfId="0" applyFont="1" applyFill="1" applyAlignment="1">
      <alignment horizontal="center" vertical="center"/>
    </xf>
    <xf numFmtId="0" fontId="21" fillId="0" borderId="6" xfId="0" applyFont="1" applyBorder="1" applyAlignment="1">
      <alignment vertical="top" wrapText="1"/>
    </xf>
    <xf numFmtId="0" fontId="6" fillId="0" borderId="1" xfId="0" applyFont="1" applyBorder="1" applyAlignment="1">
      <alignment horizontal="right" wrapText="1"/>
    </xf>
    <xf numFmtId="0" fontId="6" fillId="0" borderId="2" xfId="0" applyFont="1" applyBorder="1" applyAlignment="1">
      <alignment horizontal="right" wrapText="1"/>
    </xf>
    <xf numFmtId="0" fontId="6" fillId="0" borderId="3" xfId="0" applyFont="1" applyBorder="1" applyAlignment="1">
      <alignment horizontal="right" wrapText="1"/>
    </xf>
    <xf numFmtId="0" fontId="8" fillId="0" borderId="1" xfId="0" applyFont="1" applyBorder="1" applyAlignment="1">
      <alignment horizontal="right"/>
    </xf>
    <xf numFmtId="0" fontId="8" fillId="0" borderId="3" xfId="0" applyFont="1" applyBorder="1" applyAlignment="1">
      <alignment horizontal="right"/>
    </xf>
    <xf numFmtId="0" fontId="44" fillId="0" borderId="0" xfId="0" applyFont="1" applyAlignment="1">
      <alignment horizontal="center" vertical="center" wrapText="1"/>
    </xf>
    <xf numFmtId="0" fontId="47" fillId="3" borderId="0" xfId="0" applyFont="1" applyFill="1" applyAlignment="1">
      <alignment horizontal="center" vertical="center" wrapText="1"/>
    </xf>
    <xf numFmtId="0" fontId="16" fillId="0" borderId="6" xfId="0" applyFont="1" applyBorder="1" applyAlignment="1">
      <alignment horizontal="left" vertical="top" wrapText="1"/>
    </xf>
    <xf numFmtId="0" fontId="42" fillId="0" borderId="6" xfId="0" applyFont="1" applyBorder="1" applyAlignment="1">
      <alignment horizontal="left" vertical="top" wrapText="1"/>
    </xf>
    <xf numFmtId="0" fontId="8" fillId="0" borderId="4" xfId="0" applyFont="1" applyBorder="1" applyAlignment="1">
      <alignment horizontal="right"/>
    </xf>
    <xf numFmtId="0" fontId="8" fillId="0" borderId="2" xfId="0" applyFont="1" applyBorder="1" applyAlignment="1">
      <alignment horizontal="right"/>
    </xf>
    <xf numFmtId="0" fontId="8" fillId="0" borderId="1" xfId="0" applyFont="1" applyBorder="1" applyAlignment="1">
      <alignment horizontal="right" wrapText="1"/>
    </xf>
    <xf numFmtId="0" fontId="8" fillId="0" borderId="2" xfId="0" applyFont="1" applyBorder="1" applyAlignment="1">
      <alignment horizontal="right" wrapText="1"/>
    </xf>
    <xf numFmtId="0" fontId="8" fillId="0" borderId="3" xfId="0" applyFont="1" applyBorder="1" applyAlignment="1">
      <alignment horizontal="right" wrapText="1"/>
    </xf>
    <xf numFmtId="2" fontId="5" fillId="0" borderId="4" xfId="0" applyNumberFormat="1" applyFont="1" applyBorder="1" applyAlignment="1">
      <alignment horizontal="center" vertical="center"/>
    </xf>
    <xf numFmtId="2" fontId="5" fillId="0" borderId="1" xfId="0" applyNumberFormat="1" applyFont="1" applyBorder="1" applyAlignment="1">
      <alignment horizontal="center" vertical="center"/>
    </xf>
    <xf numFmtId="2" fontId="5" fillId="0" borderId="2" xfId="0" applyNumberFormat="1" applyFont="1" applyBorder="1" applyAlignment="1">
      <alignment horizontal="center" vertical="center"/>
    </xf>
    <xf numFmtId="2" fontId="5" fillId="0" borderId="3" xfId="0" applyNumberFormat="1"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0" fontId="23" fillId="0" borderId="4" xfId="0" applyFont="1" applyBorder="1" applyAlignment="1">
      <alignment horizontal="center"/>
    </xf>
    <xf numFmtId="0" fontId="12" fillId="0" borderId="0" xfId="0" applyFont="1" applyAlignment="1">
      <alignment horizontal="center" vertical="center"/>
    </xf>
    <xf numFmtId="0" fontId="13" fillId="0" borderId="0" xfId="0" applyFont="1" applyAlignment="1">
      <alignment horizontal="center" vertical="center"/>
    </xf>
    <xf numFmtId="0" fontId="14" fillId="2" borderId="0" xfId="0" applyFont="1" applyFill="1" applyAlignment="1">
      <alignment horizontal="center"/>
    </xf>
    <xf numFmtId="0" fontId="15" fillId="0" borderId="6" xfId="0" applyFont="1" applyBorder="1" applyAlignment="1">
      <alignment horizontal="left" vertical="center" wrapText="1"/>
    </xf>
    <xf numFmtId="0" fontId="22" fillId="0" borderId="1" xfId="0" applyFont="1" applyBorder="1" applyAlignment="1">
      <alignment horizontal="right" wrapText="1"/>
    </xf>
    <xf numFmtId="0" fontId="22" fillId="0" borderId="3" xfId="0" applyFont="1" applyBorder="1" applyAlignment="1">
      <alignment horizontal="right" wrapText="1"/>
    </xf>
    <xf numFmtId="0" fontId="14" fillId="3" borderId="0" xfId="0" applyFont="1" applyFill="1" applyAlignment="1">
      <alignment horizontal="center" vertical="center"/>
    </xf>
    <xf numFmtId="0" fontId="34" fillId="2" borderId="0" xfId="0" applyFont="1" applyFill="1" applyAlignment="1">
      <alignment horizontal="center"/>
    </xf>
    <xf numFmtId="0" fontId="27" fillId="0" borderId="6" xfId="0" applyFont="1" applyBorder="1" applyAlignment="1">
      <alignment horizontal="left" vertical="center" wrapText="1"/>
    </xf>
    <xf numFmtId="0" fontId="27" fillId="0" borderId="8" xfId="0" applyFont="1" applyBorder="1" applyAlignment="1">
      <alignment horizontal="left" vertical="center" wrapText="1"/>
    </xf>
    <xf numFmtId="0" fontId="40" fillId="0" borderId="4" xfId="0" applyFont="1" applyBorder="1" applyAlignment="1">
      <alignment horizontal="center" vertical="center" wrapText="1"/>
    </xf>
    <xf numFmtId="0" fontId="10" fillId="0" borderId="4" xfId="0" applyFont="1" applyBorder="1" applyAlignment="1">
      <alignment horizontal="right" vertical="center"/>
    </xf>
    <xf numFmtId="2" fontId="31" fillId="0" borderId="4" xfId="0" applyNumberFormat="1" applyFont="1" applyBorder="1" applyAlignment="1">
      <alignment horizontal="center"/>
    </xf>
  </cellXfs>
  <cellStyles count="4">
    <cellStyle name="Comma" xfId="3" builtinId="3"/>
    <cellStyle name="Normal" xfId="0" builtinId="0"/>
    <cellStyle name="Normal 2" xfId="2"/>
    <cellStyle name="Normal 2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7.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6.xml"/><Relationship Id="rId38"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5.xml"/><Relationship Id="rId37" Type="http://schemas.openxmlformats.org/officeDocument/2006/relationships/externalLink" Target="externalLinks/externalLink10.xml"/><Relationship Id="rId40" Type="http://schemas.openxmlformats.org/officeDocument/2006/relationships/externalLink" Target="externalLinks/externalLink1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externalLink" Target="externalLinks/externalLink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4.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35" Type="http://schemas.openxmlformats.org/officeDocument/2006/relationships/externalLink" Target="externalLinks/externalLink8.xml"/><Relationship Id="rId43"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0</xdr:row>
      <xdr:rowOff>104775</xdr:rowOff>
    </xdr:from>
    <xdr:to>
      <xdr:col>1</xdr:col>
      <xdr:colOff>609600</xdr:colOff>
      <xdr:row>0</xdr:row>
      <xdr:rowOff>700183</xdr:rowOff>
    </xdr:to>
    <xdr:pic>
      <xdr:nvPicPr>
        <xdr:cNvPr id="2" name="Picture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723900" y="104775"/>
          <a:ext cx="581025" cy="595408"/>
        </a:xfrm>
        <a:prstGeom prst="rect">
          <a:avLst/>
        </a:prstGeom>
      </xdr:spPr>
    </xdr:pic>
    <xdr:clientData/>
  </xdr:twoCellAnchor>
  <xdr:twoCellAnchor editAs="oneCell">
    <xdr:from>
      <xdr:col>4</xdr:col>
      <xdr:colOff>400051</xdr:colOff>
      <xdr:row>0</xdr:row>
      <xdr:rowOff>47626</xdr:rowOff>
    </xdr:from>
    <xdr:to>
      <xdr:col>5</xdr:col>
      <xdr:colOff>116601</xdr:colOff>
      <xdr:row>0</xdr:row>
      <xdr:rowOff>695326</xdr:rowOff>
    </xdr:to>
    <xdr:pic>
      <xdr:nvPicPr>
        <xdr:cNvPr id="3" name="Picture 2" descr="RMC_LOGO.jpg">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2" cstate="print"/>
        <a:stretch>
          <a:fillRect/>
        </a:stretch>
      </xdr:blipFill>
      <xdr:spPr>
        <a:xfrm>
          <a:off x="5057776" y="47626"/>
          <a:ext cx="611900" cy="647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ESTIMATE%202022%20NEW%20-%20ward5.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abbas%20BOQ/boundary%20wall%20Kabristan.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abbas%20BOQ/RCC%20Nand%2026i.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abbas%20BOQ/weekar%20Section%20dRAIN.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abbas%20BOQ/staff%20qt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ESTIMATE%202022%20NEW%20-%20ward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ARD-08/DRAIN/RCC%20DRain%20Adarsh%20Nagar%20Dilipppp.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ARD%20-07/ROAD/PCC%20ROAD%20gadigaon%20Pahantoli%20kuwar%20rund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bbas%20BOQ/Saket%20Vihar%202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bbas%20BOQ/Kadru%20Talab%20Road.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abbas%20BOQ/Samrajy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abbas%20BOQ/Ward%2025%20paver.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abbas%20BOQ/Neeraj%20Sinha.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CC ROAD"/>
      <sheetName val="PCC Material"/>
      <sheetName val="RCC DRAIN"/>
      <sheetName val="Drain Material"/>
      <sheetName val="comp"/>
      <sheetName val="comp mat"/>
      <sheetName val="Abstract"/>
      <sheetName val="Dy. Mayor"/>
      <sheetName val="Dy. Mat"/>
      <sheetName val="File"/>
      <sheetName val="w2 MUMTAZ"/>
      <sheetName val="mat2"/>
      <sheetName val="W2 JOGO"/>
      <sheetName val="MAT JOGO"/>
      <sheetName val="ADALHATU RD5"/>
      <sheetName val="RD5 MAT"/>
      <sheetName val="Big Drain"/>
      <sheetName val="big mat"/>
      <sheetName val="W5 DRAIN"/>
      <sheetName val="W5 MAT"/>
      <sheetName val="Drain5"/>
      <sheetName val="w5mat"/>
      <sheetName val="ward 5 final"/>
      <sheetName val="final mat"/>
      <sheetName val="Sheet1"/>
      <sheetName val="w9"/>
      <sheetName val="PCC Material (2)"/>
      <sheetName val="AKHRA SHED MANCH"/>
      <sheetName val="SHED MANCH MAT"/>
      <sheetName val="Sarna Colony"/>
      <sheetName val="sarna mat"/>
      <sheetName val="krishna nagar"/>
      <sheetName val="krishna mat"/>
      <sheetName val="PUCHKA"/>
      <sheetName val="PUCHKA MAT"/>
      <sheetName val="GANPATI"/>
      <sheetName val="GANPATI MAT"/>
      <sheetName val="DEVI MANDAP"/>
      <sheetName val="DEVI MAT"/>
      <sheetName val="SINDWAR"/>
      <sheetName val="SINDWAR MAT"/>
      <sheetName val="SIND KARAM"/>
      <sheetName val="KARAM MAT"/>
      <sheetName val="Chitragupt 5"/>
      <sheetName val="Chitra mat"/>
      <sheetName val="FULA MAHTO5"/>
      <sheetName val="FULA MAT"/>
      <sheetName val="Gumla Petrol pump"/>
      <sheetName val="Gumla mat"/>
      <sheetName val="Gumla Drain"/>
      <sheetName val="Gum drain mat"/>
      <sheetName val="ABS"/>
      <sheetName val="nage tungri"/>
      <sheetName val="nage mat"/>
      <sheetName val="DSP"/>
      <sheetName val="DSP MAT"/>
      <sheetName val="KISHUNPUR VILL BOQ"/>
      <sheetName val="RAM OHDAR BOQ"/>
    </sheetNames>
    <sheetDataSet>
      <sheetData sheetId="0" refreshError="1"/>
      <sheetData sheetId="1" refreshError="1"/>
      <sheetData sheetId="2" refreshError="1">
        <row r="37">
          <cell r="I37">
            <v>848.82</v>
          </cell>
        </row>
        <row r="38">
          <cell r="I38">
            <v>313.14</v>
          </cell>
        </row>
        <row r="39">
          <cell r="I39">
            <v>447.06</v>
          </cell>
        </row>
        <row r="40">
          <cell r="I40">
            <v>679.66</v>
          </cell>
        </row>
        <row r="41">
          <cell r="I41">
            <v>117.54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const. Bwall 121-124 set "/>
      <sheetName val="const. B-wall 37-56set"/>
      <sheetName val="Park at harmu"/>
      <sheetName val="Sheet1"/>
      <sheetName val="Sheet2"/>
    </sheetNames>
    <sheetDataSet>
      <sheetData sheetId="0" refreshError="1"/>
      <sheetData sheetId="1" refreshError="1"/>
      <sheetData sheetId="2">
        <row r="12">
          <cell r="G12">
            <v>20.883795837462838</v>
          </cell>
        </row>
        <row r="17">
          <cell r="G17">
            <v>2.4141476709613481</v>
          </cell>
        </row>
        <row r="22">
          <cell r="G22">
            <v>31.693540892193308</v>
          </cell>
        </row>
        <row r="25">
          <cell r="G25">
            <v>4.4598612487611495</v>
          </cell>
        </row>
        <row r="29">
          <cell r="G29">
            <v>7.1774662954048463</v>
          </cell>
        </row>
        <row r="34">
          <cell r="G34">
            <v>43.053667516284335</v>
          </cell>
        </row>
        <row r="37">
          <cell r="G37">
            <v>5.7821202681015764</v>
          </cell>
        </row>
        <row r="46">
          <cell r="G46">
            <v>0.99652500000000011</v>
          </cell>
        </row>
        <row r="47">
          <cell r="G47">
            <v>0.66435000000000022</v>
          </cell>
        </row>
        <row r="53">
          <cell r="G53">
            <v>201.363073110285</v>
          </cell>
        </row>
        <row r="55">
          <cell r="G55">
            <v>201.363073110285</v>
          </cell>
        </row>
      </sheetData>
      <sheetData sheetId="3">
        <row r="10">
          <cell r="F10">
            <v>2.8895507843442476</v>
          </cell>
          <cell r="G10">
            <v>25.128609514811728</v>
          </cell>
          <cell r="H10">
            <v>14.98072511855011</v>
          </cell>
          <cell r="I10">
            <v>18509.829090607724</v>
          </cell>
          <cell r="J10">
            <v>20.883795837462838</v>
          </cell>
        </row>
      </sheetData>
      <sheetData sheetId="4"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8">
          <cell r="G8">
            <v>63.73</v>
          </cell>
        </row>
        <row r="12">
          <cell r="G12">
            <v>5.3199999999999994</v>
          </cell>
        </row>
        <row r="16">
          <cell r="G16">
            <v>8.86</v>
          </cell>
        </row>
        <row r="21">
          <cell r="G21">
            <v>21.6</v>
          </cell>
        </row>
        <row r="25">
          <cell r="G25">
            <v>10.629999999999999</v>
          </cell>
        </row>
        <row r="30">
          <cell r="G30">
            <v>1</v>
          </cell>
        </row>
        <row r="32">
          <cell r="G32">
            <v>1.85</v>
          </cell>
        </row>
        <row r="38">
          <cell r="G38">
            <v>134.76</v>
          </cell>
        </row>
      </sheetData>
      <sheetData sheetId="1">
        <row r="10">
          <cell r="E10">
            <v>5.3199999999999994</v>
          </cell>
          <cell r="F10">
            <v>13.87</v>
          </cell>
          <cell r="G10">
            <v>27.74</v>
          </cell>
          <cell r="H10">
            <v>8.86</v>
          </cell>
          <cell r="I10">
            <v>63.73</v>
          </cell>
        </row>
      </sheetData>
      <sheetData sheetId="2"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7">
          <cell r="G7">
            <v>59.473237043330499</v>
          </cell>
        </row>
        <row r="11">
          <cell r="G11">
            <v>3.9699999999999998</v>
          </cell>
        </row>
        <row r="15">
          <cell r="G15">
            <v>6.6099999999999994</v>
          </cell>
        </row>
        <row r="20">
          <cell r="G20">
            <v>5.4799999999999995</v>
          </cell>
        </row>
        <row r="24">
          <cell r="G24">
            <v>13.593882752761257</v>
          </cell>
        </row>
        <row r="28">
          <cell r="G28">
            <v>90.458488227509292</v>
          </cell>
        </row>
        <row r="32">
          <cell r="G32">
            <v>5.29</v>
          </cell>
        </row>
        <row r="36">
          <cell r="G36">
            <v>0.46700000000000003</v>
          </cell>
        </row>
        <row r="41">
          <cell r="G41">
            <v>32.22</v>
          </cell>
        </row>
      </sheetData>
      <sheetData sheetId="1">
        <row r="11">
          <cell r="E11">
            <v>3.9699999999999998</v>
          </cell>
          <cell r="F11">
            <v>12.91</v>
          </cell>
          <cell r="G11">
            <v>9.5</v>
          </cell>
          <cell r="H11">
            <v>20.203882752761256</v>
          </cell>
          <cell r="I11">
            <v>59.473237043330499</v>
          </cell>
        </row>
      </sheetData>
      <sheetData sheetId="2"/>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7">
          <cell r="G7">
            <v>41.73</v>
          </cell>
        </row>
        <row r="12">
          <cell r="G12">
            <v>1.2</v>
          </cell>
        </row>
        <row r="15">
          <cell r="G15">
            <v>205.39</v>
          </cell>
        </row>
      </sheetData>
      <sheetData sheetId="1">
        <row r="5">
          <cell r="E5">
            <v>0.52</v>
          </cell>
          <cell r="F5">
            <v>1.04</v>
          </cell>
          <cell r="G5">
            <v>41.73</v>
          </cell>
        </row>
      </sheetData>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PCC ROAD"/>
      <sheetName val="PCC Material"/>
      <sheetName val="RCC DRAIN"/>
      <sheetName val="Drain Material"/>
      <sheetName val="comp"/>
      <sheetName val="comp mat"/>
      <sheetName val="Abstract"/>
      <sheetName val="Dy. Mayor"/>
      <sheetName val="Dy. Mat"/>
      <sheetName val="File"/>
      <sheetName val="w2 MUMTAZ"/>
      <sheetName val="mat2"/>
      <sheetName val="W2 JOGO"/>
      <sheetName val="MAT JOGO"/>
      <sheetName val="ADALHATU RD5"/>
      <sheetName val="RD5 MAT"/>
      <sheetName val="Big Drain"/>
      <sheetName val="big mat"/>
      <sheetName val="W5 DRAIN"/>
      <sheetName val="W5 MAT"/>
      <sheetName val="Drain5"/>
      <sheetName val="w5mat"/>
      <sheetName val="ward 5 final"/>
      <sheetName val="final mat"/>
      <sheetName val="Sheet1"/>
      <sheetName val="w9"/>
      <sheetName val="PCC Material (2)"/>
      <sheetName val="AKHRA SHED MANCH"/>
      <sheetName val="SHED MANCH MAT"/>
      <sheetName val="Sarna Colony"/>
      <sheetName val="sarna mat"/>
      <sheetName val="krishna nagar"/>
      <sheetName val="krishna mat"/>
      <sheetName val="PUCHKA"/>
      <sheetName val="PUCHKA MAT"/>
      <sheetName val="GANPATI"/>
      <sheetName val="GANPATI MAT"/>
      <sheetName val="DEVI MANDAP"/>
      <sheetName val="DEVI MAT"/>
      <sheetName val="SINDWAR"/>
      <sheetName val="SINDWAR MAT"/>
      <sheetName val="SIND KARAM"/>
      <sheetName val="KARAM MAT"/>
      <sheetName val="SEEMA"/>
      <sheetName val="SEEMA MAT"/>
      <sheetName val="NEW RAJDHANI"/>
      <sheetName val="NEW RAJ MAT"/>
      <sheetName val="JAYANT"/>
      <sheetName val="JAYANT BOQ"/>
      <sheetName val="JAYANT MAT"/>
      <sheetName val="TIMBER GALI"/>
      <sheetName val="TIMBER GALI BOQ"/>
      <sheetName val="TIMBER MAT"/>
      <sheetName val="RADHA MUNDA"/>
      <sheetName val="RADHA MAT"/>
      <sheetName val="JAY RAM"/>
      <sheetName val="JAY RAM MAT"/>
      <sheetName val="AK SINGH"/>
      <sheetName val="AK SINGH BOQ"/>
      <sheetName val="AK MAT"/>
      <sheetName val="BRAHMCHARI"/>
      <sheetName val="BRAHMCHARI MAT"/>
      <sheetName val="SARODAY NAGAR ROAD"/>
      <sheetName val="SARODAY MAT"/>
      <sheetName val="DAV"/>
      <sheetName val="DAV MAT"/>
      <sheetName val="SE SIR"/>
      <sheetName val="SE SIR MAT"/>
      <sheetName val="Adv Anil"/>
      <sheetName val="ado mat"/>
      <sheetName val="Anil Adv BOQ"/>
      <sheetName val="SARODAY BOQ"/>
      <sheetName val="TIKLI TOLA BOQ"/>
      <sheetName val="SANJAY"/>
      <sheetName val="SANJAY MAT"/>
      <sheetName val="Satyendra narayan"/>
      <sheetName val="Satyendra ma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row r="7">
          <cell r="G7">
            <v>40.832625318606624</v>
          </cell>
        </row>
        <row r="11">
          <cell r="G11">
            <v>3.8232795242141036</v>
          </cell>
          <cell r="I11">
            <v>347.85</v>
          </cell>
        </row>
        <row r="15">
          <cell r="G15">
            <v>6.2701784197111285</v>
          </cell>
        </row>
        <row r="20">
          <cell r="G20">
            <v>19.116397621070519</v>
          </cell>
        </row>
        <row r="24">
          <cell r="G24">
            <v>7.6465590484282071</v>
          </cell>
        </row>
        <row r="27">
          <cell r="G27">
            <v>0.85050000000000003</v>
          </cell>
        </row>
        <row r="29">
          <cell r="G29">
            <v>1.2993749999999999</v>
          </cell>
        </row>
        <row r="35">
          <cell r="G35">
            <v>150.55762081784388</v>
          </cell>
        </row>
        <row r="37">
          <cell r="G37">
            <v>11.508071367884453</v>
          </cell>
        </row>
        <row r="38">
          <cell r="G38">
            <v>3.8232795242141036</v>
          </cell>
          <cell r="I38">
            <v>447.06</v>
          </cell>
        </row>
        <row r="39">
          <cell r="G39">
            <v>23.016142735768906</v>
          </cell>
        </row>
        <row r="40">
          <cell r="G40">
            <v>6.2701784197111285</v>
          </cell>
        </row>
        <row r="41">
          <cell r="G41">
            <v>40.832625318606624</v>
          </cell>
        </row>
      </sheetData>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Drain"/>
      <sheetName val="Drain Mat"/>
      <sheetName val="Dilip Pramanik"/>
      <sheetName val="Sheet3"/>
    </sheetNames>
    <sheetDataSet>
      <sheetData sheetId="0" refreshError="1">
        <row r="3">
          <cell r="A3" t="str">
            <v>Name of Work :-Construction of RCC Drain at Kokar Adarsh Nagar from house of Dilip Pramanik to house of Sudheer Kumar under ward no-08</v>
          </cell>
        </row>
        <row r="5">
          <cell r="A5" t="str">
            <v>1            5.1.1</v>
          </cell>
          <cell r="B5" t="str">
            <v xml:space="preserve">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v>
          </cell>
        </row>
        <row r="8">
          <cell r="G8">
            <v>18.920000000000002</v>
          </cell>
          <cell r="I8">
            <v>151.82</v>
          </cell>
        </row>
        <row r="9">
          <cell r="A9" t="str">
            <v>2
4/M004</v>
          </cell>
        </row>
        <row r="12">
          <cell r="G12">
            <v>1.18</v>
          </cell>
        </row>
        <row r="13">
          <cell r="A13" t="str">
            <v>3
5.6.8</v>
          </cell>
        </row>
        <row r="16">
          <cell r="G16">
            <v>3.02</v>
          </cell>
        </row>
        <row r="17">
          <cell r="A17" t="str">
            <v>4
5.3.10</v>
          </cell>
        </row>
        <row r="21">
          <cell r="G21">
            <v>7.95</v>
          </cell>
          <cell r="I21">
            <v>6082.45</v>
          </cell>
        </row>
        <row r="22">
          <cell r="A22" t="str">
            <v>5 5.3.11</v>
          </cell>
          <cell r="B22" t="str">
            <v>Renforced cement conrete work in beams, suspended floors, having slopeup to 15' landing, balconies, shelves, chajjas, lintels, bands, plain windowsill ---------do----do-------E/I
1:1.5:3 (1 Cement : 1.5 coarse sand zone(III): 3 graded stone aggregate 20mm nominal size)</v>
          </cell>
        </row>
        <row r="25">
          <cell r="G25">
            <v>3.68</v>
          </cell>
          <cell r="I25">
            <v>6308.87</v>
          </cell>
        </row>
        <row r="26">
          <cell r="A26">
            <v>6</v>
          </cell>
          <cell r="B26" t="str">
            <v>Providing Tor steel reinforcement of 10 mm,12mm &amp;16mm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v>
          </cell>
        </row>
        <row r="31">
          <cell r="A31" t="str">
            <v>(A)5.5.4</v>
          </cell>
          <cell r="B31" t="str">
            <v>08mm dia 40%</v>
          </cell>
          <cell r="G31">
            <v>0.37</v>
          </cell>
          <cell r="H31" t="str">
            <v>M.T.</v>
          </cell>
          <cell r="I31">
            <v>83314.02</v>
          </cell>
        </row>
        <row r="32">
          <cell r="A32" t="str">
            <v>(B)5.5.5(a)</v>
          </cell>
          <cell r="B32" t="str">
            <v>10mm dia 60%</v>
          </cell>
          <cell r="G32">
            <v>0.55400000000000005</v>
          </cell>
          <cell r="I32">
            <v>82096.539999999994</v>
          </cell>
        </row>
        <row r="34">
          <cell r="A34" t="str">
            <v>7
5.3.17.1</v>
          </cell>
          <cell r="B34" t="str">
            <v>Centering and Shuttering including strutting, propping etc and removal of from for  
 Foundation , footing , bases of columns etc for mass concrete.</v>
          </cell>
        </row>
        <row r="38">
          <cell r="G38">
            <v>84.57</v>
          </cell>
          <cell r="H38" t="str">
            <v>m2</v>
          </cell>
          <cell r="I38">
            <v>194.5</v>
          </cell>
        </row>
        <row r="40">
          <cell r="G40">
            <v>5</v>
          </cell>
        </row>
        <row r="41">
          <cell r="B41" t="str">
            <v>Stone Dust (Lead 22 KM)</v>
          </cell>
          <cell r="G41">
            <v>1.18</v>
          </cell>
        </row>
        <row r="42">
          <cell r="G42">
            <v>3.02</v>
          </cell>
        </row>
        <row r="43">
          <cell r="G43">
            <v>10</v>
          </cell>
        </row>
        <row r="44">
          <cell r="G44">
            <v>18.920000000000002</v>
          </cell>
        </row>
      </sheetData>
      <sheetData sheetId="1" refreshError="1"/>
      <sheetData sheetId="2" refreshError="1"/>
      <sheetData sheetId="3"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sheetName val="Sheet2"/>
      <sheetName val="Gadigaon Kuwar €runda"/>
      <sheetName val="BOQ"/>
    </sheetNames>
    <sheetDataSet>
      <sheetData sheetId="0" refreshError="1">
        <row r="9">
          <cell r="B9" t="str">
            <v>Providing,supplying &amp; spreding of stone dust in filling in foundation trenches or in plinth including ramming and watering in layers not exceeding 150 mm thick with all leads and lifts including cost of materials, labour,royality and taxes all complete as per specification and direction of E/I ( Mode of measurment compacted volume.)</v>
          </cell>
        </row>
        <row r="12">
          <cell r="I12">
            <v>347.85</v>
          </cell>
        </row>
        <row r="13">
          <cell r="B13" t="str">
            <v>Supplying and laying (properly as per design and drawing) rip-rap with good  quality of boulders duly packed including the cost of materials, royalty all taxes etc. but excluding the cost of carriage all complete as per specification and direction of E/I.</v>
          </cell>
        </row>
        <row r="16">
          <cell r="I16">
            <v>1756.4</v>
          </cell>
        </row>
        <row r="17">
          <cell r="B17" t="str">
            <v>Providing and laying in position cement concrete of specified grade excluding the cost of centering and shuttering - All work up to plinth level1:1.5:3 (1 Cement : 1.5 coarse sand zone(III): 3 graded stone aggregate 20mm nominal size)</v>
          </cell>
        </row>
        <row r="26">
          <cell r="I26">
            <v>848.82</v>
          </cell>
        </row>
        <row r="27">
          <cell r="I27">
            <v>447.06</v>
          </cell>
        </row>
        <row r="28">
          <cell r="I28">
            <v>679.66</v>
          </cell>
        </row>
        <row r="29">
          <cell r="I29">
            <v>447.06</v>
          </cell>
        </row>
        <row r="30">
          <cell r="I30">
            <v>117.54</v>
          </cell>
        </row>
      </sheetData>
      <sheetData sheetId="1" refreshError="1"/>
      <sheetData sheetId="2" refreshError="1"/>
      <sheetData sheetId="3"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row r="7">
          <cell r="E7">
            <v>8.5</v>
          </cell>
          <cell r="F7">
            <v>28.77</v>
          </cell>
          <cell r="G7">
            <v>57.54</v>
          </cell>
          <cell r="H7">
            <v>14.17</v>
          </cell>
          <cell r="I7">
            <v>11.33</v>
          </cell>
        </row>
      </sheetData>
      <sheetData sheetId="2"/>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18">
          <cell r="G18">
            <v>67.97</v>
          </cell>
        </row>
      </sheetData>
      <sheetData sheetId="1">
        <row r="7">
          <cell r="E7">
            <v>4.25</v>
          </cell>
          <cell r="F7">
            <v>29.16</v>
          </cell>
          <cell r="G7">
            <v>58.32</v>
          </cell>
          <cell r="H7">
            <v>7.09</v>
          </cell>
          <cell r="I7">
            <v>5.67</v>
          </cell>
        </row>
      </sheetData>
      <sheetData sheetId="2"/>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7">
          <cell r="G7">
            <v>1.1800245445105257</v>
          </cell>
        </row>
        <row r="11">
          <cell r="G11">
            <v>80.713678844519961</v>
          </cell>
        </row>
        <row r="15">
          <cell r="G15">
            <v>6.7299999999999995</v>
          </cell>
        </row>
        <row r="19">
          <cell r="G19">
            <v>11.22</v>
          </cell>
        </row>
        <row r="24">
          <cell r="G24">
            <v>9.42</v>
          </cell>
        </row>
        <row r="28">
          <cell r="G28">
            <v>24.214103653355988</v>
          </cell>
        </row>
        <row r="32">
          <cell r="G32">
            <v>206.0099132589838</v>
          </cell>
        </row>
        <row r="37">
          <cell r="G37">
            <v>24.26</v>
          </cell>
        </row>
        <row r="41">
          <cell r="G41">
            <v>2.1419999999999999</v>
          </cell>
        </row>
        <row r="46">
          <cell r="G46">
            <v>57.01</v>
          </cell>
        </row>
      </sheetData>
      <sheetData sheetId="1">
        <row r="11">
          <cell r="E11">
            <v>6.7299999999999995</v>
          </cell>
          <cell r="F11">
            <v>30.549999999999997</v>
          </cell>
          <cell r="G11">
            <v>29.339999999999996</v>
          </cell>
          <cell r="H11">
            <v>35.43410365335599</v>
          </cell>
          <cell r="I11">
            <v>80.713678844519961</v>
          </cell>
        </row>
      </sheetData>
      <sheetData sheetId="2"/>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Sheet1"/>
      <sheetName val="Sheet2"/>
      <sheetName val="Sheet3"/>
      <sheetName val="Sheet4"/>
    </sheetNames>
    <sheetDataSet>
      <sheetData sheetId="0">
        <row r="9">
          <cell r="G9">
            <v>117.06</v>
          </cell>
        </row>
        <row r="15">
          <cell r="G15">
            <v>70.240000000000009</v>
          </cell>
        </row>
        <row r="21">
          <cell r="G21">
            <v>2.71</v>
          </cell>
        </row>
        <row r="28">
          <cell r="G28">
            <v>460.96999999999997</v>
          </cell>
        </row>
      </sheetData>
      <sheetData sheetId="1">
        <row r="6">
          <cell r="D6">
            <v>91.54</v>
          </cell>
          <cell r="E6">
            <v>1.17</v>
          </cell>
          <cell r="F6">
            <v>117.06</v>
          </cell>
        </row>
      </sheetData>
      <sheetData sheetId="2"/>
      <sheetData sheetId="3"/>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7">
          <cell r="G7">
            <v>2.3600490890210515</v>
          </cell>
        </row>
        <row r="11">
          <cell r="G11">
            <v>53.809107901444349</v>
          </cell>
        </row>
        <row r="15">
          <cell r="G15">
            <v>4.25</v>
          </cell>
        </row>
        <row r="19">
          <cell r="G19">
            <v>7.09</v>
          </cell>
        </row>
        <row r="25">
          <cell r="G25">
            <v>18.650000000000002</v>
          </cell>
        </row>
        <row r="29">
          <cell r="G29">
            <v>12.744265080713678</v>
          </cell>
        </row>
        <row r="33">
          <cell r="G33">
            <v>108.42627013630725</v>
          </cell>
        </row>
        <row r="37">
          <cell r="G37">
            <v>8.5</v>
          </cell>
        </row>
        <row r="41">
          <cell r="G41">
            <v>0.75</v>
          </cell>
        </row>
        <row r="46">
          <cell r="G46">
            <v>46.47</v>
          </cell>
        </row>
      </sheetData>
      <sheetData sheetId="1">
        <row r="11">
          <cell r="E11">
            <v>4.25</v>
          </cell>
          <cell r="F11">
            <v>20.46</v>
          </cell>
          <cell r="G11">
            <v>24.12</v>
          </cell>
          <cell r="H11">
            <v>19.834265080713678</v>
          </cell>
          <cell r="I11">
            <v>53.809107901444349</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F48"/>
  <sheetViews>
    <sheetView topLeftCell="A10" workbookViewId="0">
      <selection activeCell="E6" sqref="E6"/>
    </sheetView>
  </sheetViews>
  <sheetFormatPr defaultRowHeight="15"/>
  <cols>
    <col min="1" max="1" width="7.7109375" customWidth="1"/>
    <col min="2" max="2" width="50.42578125" customWidth="1"/>
    <col min="3" max="3" width="8.5703125" customWidth="1"/>
    <col min="4" max="4" width="5.140625" bestFit="1" customWidth="1"/>
    <col min="5" max="5" width="10.28515625" customWidth="1"/>
    <col min="6" max="6" width="18.85546875" customWidth="1"/>
  </cols>
  <sheetData>
    <row r="1" spans="1:6" ht="34.5" customHeight="1">
      <c r="A1" s="228" t="s">
        <v>231</v>
      </c>
      <c r="B1" s="228"/>
      <c r="C1" s="228"/>
      <c r="D1" s="228"/>
      <c r="E1" s="228"/>
      <c r="F1" s="228"/>
    </row>
    <row r="2" spans="1:6" ht="18.75" customHeight="1">
      <c r="A2" s="229" t="s">
        <v>1</v>
      </c>
      <c r="B2" s="230"/>
      <c r="C2" s="230"/>
      <c r="D2" s="230"/>
      <c r="E2" s="230"/>
      <c r="F2" s="231"/>
    </row>
    <row r="3" spans="1:6" ht="38.25" customHeight="1">
      <c r="A3" s="232" t="s">
        <v>232</v>
      </c>
      <c r="B3" s="232"/>
      <c r="C3" s="232"/>
      <c r="D3" s="232"/>
      <c r="E3" s="232"/>
      <c r="F3" s="232"/>
    </row>
    <row r="4" spans="1:6" ht="21" customHeight="1">
      <c r="A4" s="152" t="s">
        <v>233</v>
      </c>
      <c r="B4" s="153" t="s">
        <v>234</v>
      </c>
      <c r="C4" s="153" t="s">
        <v>235</v>
      </c>
      <c r="D4" s="153" t="s">
        <v>54</v>
      </c>
      <c r="E4" s="152" t="s">
        <v>236</v>
      </c>
      <c r="F4" s="152" t="s">
        <v>237</v>
      </c>
    </row>
    <row r="5" spans="1:6" s="87" customFormat="1" ht="96.75" customHeight="1">
      <c r="A5" s="154" t="s">
        <v>238</v>
      </c>
      <c r="B5" s="155" t="s">
        <v>239</v>
      </c>
      <c r="C5" s="156">
        <v>39.29</v>
      </c>
      <c r="D5" s="157" t="s">
        <v>76</v>
      </c>
      <c r="E5" s="158">
        <v>151.82</v>
      </c>
      <c r="F5" s="159">
        <v>5965.01</v>
      </c>
    </row>
    <row r="6" spans="1:6" ht="98.25" customHeight="1">
      <c r="A6" s="160" t="s">
        <v>240</v>
      </c>
      <c r="B6" s="161" t="s">
        <v>241</v>
      </c>
      <c r="C6" s="162">
        <v>13.1</v>
      </c>
      <c r="D6" s="157" t="s">
        <v>76</v>
      </c>
      <c r="E6" s="162">
        <v>589.51</v>
      </c>
      <c r="F6" s="159">
        <f t="shared" ref="F6:F15" si="0">SUM((C6*E6),H6)</f>
        <v>7722.5809999999992</v>
      </c>
    </row>
    <row r="7" spans="1:6" s="163" customFormat="1" ht="77.25" customHeight="1">
      <c r="A7" s="160" t="s">
        <v>242</v>
      </c>
      <c r="B7" s="161" t="s">
        <v>243</v>
      </c>
      <c r="C7" s="162">
        <v>21.48</v>
      </c>
      <c r="D7" s="157" t="s">
        <v>76</v>
      </c>
      <c r="E7" s="162">
        <v>1756.4</v>
      </c>
      <c r="F7" s="159">
        <f t="shared" si="0"/>
        <v>37727.472000000002</v>
      </c>
    </row>
    <row r="8" spans="1:6" s="163" customFormat="1" ht="74.25" customHeight="1">
      <c r="A8" s="164" t="s">
        <v>244</v>
      </c>
      <c r="B8" s="165" t="s">
        <v>245</v>
      </c>
      <c r="C8" s="162">
        <v>26.2</v>
      </c>
      <c r="D8" s="157" t="s">
        <v>76</v>
      </c>
      <c r="E8" s="162">
        <v>4961.7299999999996</v>
      </c>
      <c r="F8" s="159">
        <f t="shared" si="0"/>
        <v>129997.32599999999</v>
      </c>
    </row>
    <row r="9" spans="1:6" s="163" customFormat="1" ht="71.25" customHeight="1">
      <c r="A9" s="160" t="s">
        <v>246</v>
      </c>
      <c r="B9" s="161" t="s">
        <v>247</v>
      </c>
      <c r="C9" s="166">
        <v>17.190000000000001</v>
      </c>
      <c r="D9" s="167" t="s">
        <v>248</v>
      </c>
      <c r="E9" s="168">
        <v>194.5</v>
      </c>
      <c r="F9" s="159">
        <f t="shared" si="0"/>
        <v>3343.4550000000004</v>
      </c>
    </row>
    <row r="10" spans="1:6" s="163" customFormat="1" ht="36.75" customHeight="1">
      <c r="A10" s="169">
        <v>6</v>
      </c>
      <c r="B10" s="170" t="s">
        <v>185</v>
      </c>
      <c r="C10" s="171">
        <v>0</v>
      </c>
      <c r="D10" s="171"/>
      <c r="E10" s="171">
        <v>0</v>
      </c>
      <c r="F10" s="159">
        <f t="shared" si="0"/>
        <v>0</v>
      </c>
    </row>
    <row r="11" spans="1:6" s="163" customFormat="1" ht="31.5" customHeight="1">
      <c r="A11" s="172" t="s">
        <v>35</v>
      </c>
      <c r="B11" s="173" t="s">
        <v>249</v>
      </c>
      <c r="C11" s="162">
        <v>11.26</v>
      </c>
      <c r="D11" s="162" t="s">
        <v>76</v>
      </c>
      <c r="E11" s="168">
        <f>'[1]RCC DRAIN'!I37</f>
        <v>848.82</v>
      </c>
      <c r="F11" s="159">
        <f t="shared" si="0"/>
        <v>9557.7132000000001</v>
      </c>
    </row>
    <row r="12" spans="1:6" s="163" customFormat="1" ht="30" customHeight="1">
      <c r="A12" s="172" t="s">
        <v>37</v>
      </c>
      <c r="B12" s="173" t="s">
        <v>250</v>
      </c>
      <c r="C12" s="162">
        <v>13.1</v>
      </c>
      <c r="D12" s="162" t="s">
        <v>76</v>
      </c>
      <c r="E12" s="168">
        <v>328.02</v>
      </c>
      <c r="F12" s="159">
        <f t="shared" si="0"/>
        <v>4297.0619999999999</v>
      </c>
    </row>
    <row r="13" spans="1:6" s="163" customFormat="1" ht="27.75" customHeight="1">
      <c r="A13" s="172" t="s">
        <v>74</v>
      </c>
      <c r="B13" s="174" t="s">
        <v>251</v>
      </c>
      <c r="C13" s="162">
        <v>22.53</v>
      </c>
      <c r="D13" s="162" t="s">
        <v>76</v>
      </c>
      <c r="E13" s="168">
        <f>'[1]RCC DRAIN'!I39</f>
        <v>447.06</v>
      </c>
      <c r="F13" s="159">
        <f t="shared" si="0"/>
        <v>10072.2618</v>
      </c>
    </row>
    <row r="14" spans="1:6" s="163" customFormat="1" ht="30" customHeight="1">
      <c r="A14" s="172" t="s">
        <v>39</v>
      </c>
      <c r="B14" s="174" t="s">
        <v>252</v>
      </c>
      <c r="C14" s="162">
        <v>21.48</v>
      </c>
      <c r="D14" s="162" t="s">
        <v>76</v>
      </c>
      <c r="E14" s="168">
        <f>'[1]RCC DRAIN'!I40</f>
        <v>679.66</v>
      </c>
      <c r="F14" s="159">
        <f t="shared" si="0"/>
        <v>14599.096799999999</v>
      </c>
    </row>
    <row r="15" spans="1:6" s="163" customFormat="1" ht="29.25" customHeight="1">
      <c r="A15" s="172" t="s">
        <v>41</v>
      </c>
      <c r="B15" s="174" t="s">
        <v>253</v>
      </c>
      <c r="C15" s="162">
        <v>39.29</v>
      </c>
      <c r="D15" s="162" t="s">
        <v>76</v>
      </c>
      <c r="E15" s="168">
        <f>'[1]RCC DRAIN'!I41</f>
        <v>117.54</v>
      </c>
      <c r="F15" s="159">
        <f t="shared" si="0"/>
        <v>4618.1466</v>
      </c>
    </row>
    <row r="16" spans="1:6" s="163" customFormat="1" ht="28.5" customHeight="1">
      <c r="A16" s="175"/>
      <c r="B16" s="176"/>
      <c r="C16" s="177"/>
      <c r="D16" s="178"/>
      <c r="E16" s="178" t="s">
        <v>121</v>
      </c>
      <c r="F16" s="179">
        <f>SUM(F5:F15)</f>
        <v>227900.1244</v>
      </c>
    </row>
    <row r="17" spans="1:6" s="163" customFormat="1">
      <c r="A17" s="180"/>
      <c r="B17" s="181"/>
      <c r="C17" s="178"/>
      <c r="D17" s="177"/>
      <c r="E17" s="178" t="s">
        <v>254</v>
      </c>
      <c r="F17" s="179">
        <f>F16*18/100</f>
        <v>41022.022391999999</v>
      </c>
    </row>
    <row r="18" spans="1:6" s="163" customFormat="1">
      <c r="A18" s="180"/>
      <c r="B18" s="181"/>
      <c r="C18" s="178"/>
      <c r="D18" s="178"/>
      <c r="E18" s="178"/>
      <c r="F18" s="179">
        <f>F16+F17</f>
        <v>268922.14679199998</v>
      </c>
    </row>
    <row r="19" spans="1:6" s="163" customFormat="1">
      <c r="A19" s="180"/>
      <c r="B19" s="181"/>
      <c r="C19" s="182"/>
      <c r="D19" s="178"/>
      <c r="E19" s="178" t="s">
        <v>255</v>
      </c>
      <c r="F19" s="179">
        <f>F18*1/100</f>
        <v>2689.2214679199997</v>
      </c>
    </row>
    <row r="20" spans="1:6" s="163" customFormat="1">
      <c r="A20" s="180"/>
      <c r="B20" s="181"/>
      <c r="C20" s="182"/>
      <c r="D20" s="178"/>
      <c r="E20" s="178" t="s">
        <v>121</v>
      </c>
      <c r="F20" s="183">
        <f>F18+F19</f>
        <v>271611.36825991998</v>
      </c>
    </row>
    <row r="21" spans="1:6" s="163" customFormat="1">
      <c r="C21" s="184"/>
      <c r="D21" s="184"/>
      <c r="E21" s="184"/>
      <c r="F21" s="184"/>
    </row>
    <row r="22" spans="1:6" s="163" customFormat="1">
      <c r="C22" s="184"/>
      <c r="D22" s="184"/>
      <c r="E22" s="184"/>
      <c r="F22" s="184"/>
    </row>
    <row r="23" spans="1:6" s="163" customFormat="1">
      <c r="C23" s="184"/>
      <c r="D23" s="184"/>
      <c r="E23" s="184"/>
      <c r="F23" s="184"/>
    </row>
    <row r="24" spans="1:6" s="163" customFormat="1">
      <c r="C24" s="184"/>
      <c r="D24" s="184"/>
      <c r="E24" s="184"/>
      <c r="F24" s="184"/>
    </row>
    <row r="25" spans="1:6" s="163" customFormat="1">
      <c r="C25" s="184"/>
      <c r="D25" s="184"/>
      <c r="E25" s="184"/>
      <c r="F25" s="184"/>
    </row>
    <row r="26" spans="1:6" s="163" customFormat="1">
      <c r="C26" s="184"/>
      <c r="D26" s="184"/>
      <c r="E26" s="184"/>
      <c r="F26" s="184"/>
    </row>
    <row r="27" spans="1:6" s="163" customFormat="1">
      <c r="C27" s="184"/>
      <c r="D27" s="184"/>
      <c r="E27" s="184"/>
      <c r="F27" s="184"/>
    </row>
    <row r="28" spans="1:6" s="163" customFormat="1">
      <c r="C28" s="184"/>
      <c r="D28" s="184"/>
      <c r="E28" s="184"/>
      <c r="F28" s="184"/>
    </row>
    <row r="29" spans="1:6" s="163" customFormat="1">
      <c r="C29" s="184"/>
      <c r="D29" s="184"/>
      <c r="E29" s="184"/>
      <c r="F29" s="184"/>
    </row>
    <row r="30" spans="1:6" s="163" customFormat="1">
      <c r="C30" s="184"/>
      <c r="D30" s="184"/>
      <c r="E30" s="184"/>
      <c r="F30" s="184"/>
    </row>
    <row r="31" spans="1:6" s="163" customFormat="1">
      <c r="C31" s="184"/>
      <c r="D31" s="184"/>
      <c r="E31" s="184"/>
      <c r="F31" s="184"/>
    </row>
    <row r="32" spans="1:6" s="163" customFormat="1">
      <c r="C32" s="184"/>
      <c r="D32" s="184"/>
      <c r="E32" s="184"/>
      <c r="F32" s="184"/>
    </row>
    <row r="33" spans="1:6" s="163" customFormat="1">
      <c r="C33" s="184"/>
      <c r="D33" s="184"/>
      <c r="E33" s="184"/>
      <c r="F33" s="184"/>
    </row>
    <row r="34" spans="1:6" s="163" customFormat="1">
      <c r="C34" s="184"/>
      <c r="D34" s="184"/>
      <c r="E34" s="184"/>
      <c r="F34" s="184"/>
    </row>
    <row r="35" spans="1:6" s="163" customFormat="1">
      <c r="C35" s="184"/>
      <c r="D35" s="184"/>
      <c r="E35" s="184"/>
      <c r="F35" s="184"/>
    </row>
    <row r="36" spans="1:6" s="163" customFormat="1">
      <c r="C36" s="184"/>
      <c r="D36" s="184"/>
      <c r="E36" s="184"/>
      <c r="F36" s="184"/>
    </row>
    <row r="37" spans="1:6" s="163" customFormat="1">
      <c r="C37" s="184"/>
      <c r="D37" s="184"/>
      <c r="E37" s="184"/>
      <c r="F37" s="184"/>
    </row>
    <row r="38" spans="1:6" s="163" customFormat="1">
      <c r="A38"/>
      <c r="B38"/>
      <c r="C38" s="185"/>
      <c r="D38" s="185"/>
      <c r="E38" s="185"/>
      <c r="F38" s="185"/>
    </row>
    <row r="39" spans="1:6">
      <c r="C39" s="185"/>
      <c r="D39" s="185"/>
      <c r="E39" s="185"/>
      <c r="F39" s="185"/>
    </row>
    <row r="40" spans="1:6">
      <c r="C40" s="185"/>
      <c r="D40" s="185"/>
      <c r="E40" s="185"/>
      <c r="F40" s="185"/>
    </row>
    <row r="41" spans="1:6">
      <c r="C41" s="185"/>
      <c r="D41" s="185"/>
      <c r="E41" s="185"/>
      <c r="F41" s="185"/>
    </row>
    <row r="42" spans="1:6">
      <c r="C42" s="185"/>
      <c r="D42" s="185"/>
      <c r="E42" s="185"/>
      <c r="F42" s="185"/>
    </row>
    <row r="43" spans="1:6">
      <c r="C43" s="185"/>
      <c r="D43" s="185"/>
      <c r="E43" s="185"/>
      <c r="F43" s="185"/>
    </row>
    <row r="44" spans="1:6">
      <c r="C44" s="185"/>
      <c r="D44" s="185"/>
      <c r="E44" s="185"/>
      <c r="F44" s="185"/>
    </row>
    <row r="45" spans="1:6">
      <c r="C45" s="185"/>
      <c r="D45" s="185"/>
      <c r="E45" s="185"/>
      <c r="F45" s="185"/>
    </row>
    <row r="46" spans="1:6">
      <c r="C46" s="185"/>
      <c r="D46" s="185"/>
      <c r="E46" s="185"/>
      <c r="F46" s="185"/>
    </row>
    <row r="47" spans="1:6">
      <c r="C47" s="185"/>
      <c r="D47" s="185"/>
      <c r="E47" s="185"/>
      <c r="F47" s="185"/>
    </row>
    <row r="48" spans="1:6">
      <c r="C48" s="185"/>
      <c r="D48" s="185"/>
      <c r="E48" s="185"/>
      <c r="F48" s="185"/>
    </row>
  </sheetData>
  <mergeCells count="3">
    <mergeCell ref="A1:F1"/>
    <mergeCell ref="A2:F2"/>
    <mergeCell ref="A3:F3"/>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J15"/>
  <sheetViews>
    <sheetView workbookViewId="0">
      <selection activeCell="A3" sqref="A3:I3"/>
    </sheetView>
  </sheetViews>
  <sheetFormatPr defaultRowHeight="15"/>
  <cols>
    <col min="1" max="1" width="8.85546875" style="140" customWidth="1"/>
    <col min="2" max="2" width="42.85546875" style="141" customWidth="1"/>
    <col min="3" max="3" width="9.140625" style="141" hidden="1" customWidth="1"/>
    <col min="4" max="5" width="13.7109375" style="108" hidden="1" customWidth="1"/>
    <col min="6" max="6" width="13.7109375" style="108" customWidth="1"/>
    <col min="7" max="7" width="9.140625" style="142"/>
    <col min="8" max="8" width="12.140625" style="108" customWidth="1"/>
    <col min="9" max="9" width="16.42578125" style="143" customWidth="1"/>
    <col min="10" max="10" width="22.140625" style="108" hidden="1" customWidth="1"/>
    <col min="11" max="16384" width="9.140625" style="108"/>
  </cols>
  <sheetData>
    <row r="1" spans="1:9" ht="18.75">
      <c r="A1" s="240" t="s">
        <v>49</v>
      </c>
      <c r="B1" s="240"/>
      <c r="C1" s="240"/>
      <c r="D1" s="240"/>
      <c r="E1" s="240"/>
      <c r="F1" s="240"/>
      <c r="G1" s="240"/>
      <c r="H1" s="240"/>
      <c r="I1" s="240"/>
    </row>
    <row r="2" spans="1:9" ht="18.75">
      <c r="A2" s="240" t="s">
        <v>114</v>
      </c>
      <c r="B2" s="240"/>
      <c r="C2" s="240"/>
      <c r="D2" s="240"/>
      <c r="E2" s="240"/>
      <c r="F2" s="240"/>
      <c r="G2" s="240"/>
      <c r="H2" s="240"/>
      <c r="I2" s="240"/>
    </row>
    <row r="3" spans="1:9" ht="51.75" customHeight="1">
      <c r="A3" s="241" t="s">
        <v>158</v>
      </c>
      <c r="B3" s="241"/>
      <c r="C3" s="241"/>
      <c r="D3" s="241"/>
      <c r="E3" s="241"/>
      <c r="F3" s="241"/>
      <c r="G3" s="241"/>
      <c r="H3" s="241"/>
      <c r="I3" s="241"/>
    </row>
    <row r="4" spans="1:9">
      <c r="A4" s="30" t="s">
        <v>51</v>
      </c>
      <c r="B4" s="30" t="s">
        <v>52</v>
      </c>
      <c r="C4" s="30" t="s">
        <v>53</v>
      </c>
      <c r="D4" s="30" t="s">
        <v>53</v>
      </c>
      <c r="E4" s="30" t="s">
        <v>53</v>
      </c>
      <c r="F4" s="30" t="s">
        <v>53</v>
      </c>
      <c r="G4" s="30" t="s">
        <v>54</v>
      </c>
      <c r="H4" s="30" t="s">
        <v>55</v>
      </c>
      <c r="I4" s="30" t="s">
        <v>56</v>
      </c>
    </row>
    <row r="5" spans="1:9" ht="30">
      <c r="A5" s="138">
        <v>1</v>
      </c>
      <c r="B5" s="107" t="s">
        <v>159</v>
      </c>
      <c r="C5" s="107">
        <v>7</v>
      </c>
      <c r="D5" s="107">
        <v>7</v>
      </c>
      <c r="E5" s="107">
        <v>7</v>
      </c>
      <c r="F5" s="107">
        <v>6</v>
      </c>
      <c r="G5" s="107" t="s">
        <v>160</v>
      </c>
      <c r="H5" s="107">
        <v>326.85000000000002</v>
      </c>
      <c r="I5" s="107">
        <f>F5*H5</f>
        <v>1961.1000000000001</v>
      </c>
    </row>
    <row r="6" spans="1:9" ht="90">
      <c r="A6" s="107" t="s">
        <v>161</v>
      </c>
      <c r="B6" s="107" t="s">
        <v>162</v>
      </c>
      <c r="C6" s="107">
        <v>49.84</v>
      </c>
      <c r="D6" s="107">
        <v>43.61</v>
      </c>
      <c r="E6" s="107">
        <v>33.979999999999997</v>
      </c>
      <c r="F6" s="107">
        <v>17.5</v>
      </c>
      <c r="G6" s="107" t="s">
        <v>11</v>
      </c>
      <c r="H6" s="107">
        <v>6308.87</v>
      </c>
      <c r="I6" s="107">
        <f t="shared" ref="I6:I10" si="0">F6*H6</f>
        <v>110405.22499999999</v>
      </c>
    </row>
    <row r="7" spans="1:9" ht="60">
      <c r="A7" s="107" t="s">
        <v>163</v>
      </c>
      <c r="B7" s="107" t="s">
        <v>164</v>
      </c>
      <c r="C7" s="107">
        <v>14.87</v>
      </c>
      <c r="D7" s="107">
        <v>32.53</v>
      </c>
      <c r="E7" s="107">
        <v>13.94</v>
      </c>
      <c r="F7" s="107">
        <v>9.76</v>
      </c>
      <c r="G7" s="107" t="s">
        <v>89</v>
      </c>
      <c r="H7" s="107">
        <v>194.5</v>
      </c>
      <c r="I7" s="107">
        <f t="shared" si="0"/>
        <v>1898.32</v>
      </c>
    </row>
    <row r="8" spans="1:9">
      <c r="A8" s="138">
        <v>4</v>
      </c>
      <c r="B8" s="107" t="s">
        <v>72</v>
      </c>
      <c r="C8" s="107"/>
      <c r="D8" s="107"/>
      <c r="E8" s="107"/>
      <c r="F8" s="107"/>
      <c r="G8" s="107"/>
      <c r="H8" s="107"/>
      <c r="I8" s="107"/>
    </row>
    <row r="9" spans="1:9">
      <c r="A9" s="107" t="s">
        <v>165</v>
      </c>
      <c r="B9" s="107" t="s">
        <v>166</v>
      </c>
      <c r="C9" s="107">
        <v>21.43</v>
      </c>
      <c r="D9" s="107">
        <v>18.75</v>
      </c>
      <c r="E9" s="107">
        <v>14.61</v>
      </c>
      <c r="F9" s="107">
        <v>7.53</v>
      </c>
      <c r="G9" s="107" t="s">
        <v>11</v>
      </c>
      <c r="H9" s="107">
        <v>744.66</v>
      </c>
      <c r="I9" s="107">
        <f t="shared" si="0"/>
        <v>5607.2897999999996</v>
      </c>
    </row>
    <row r="10" spans="1:9">
      <c r="A10" s="107" t="s">
        <v>167</v>
      </c>
      <c r="B10" s="107" t="s">
        <v>168</v>
      </c>
      <c r="C10" s="107">
        <v>42.87</v>
      </c>
      <c r="D10" s="107">
        <v>37.51</v>
      </c>
      <c r="E10" s="107">
        <v>29.23</v>
      </c>
      <c r="F10" s="107">
        <v>15.05</v>
      </c>
      <c r="G10" s="107" t="s">
        <v>11</v>
      </c>
      <c r="H10" s="107">
        <v>342.9</v>
      </c>
      <c r="I10" s="107">
        <f t="shared" si="0"/>
        <v>5160.6449999999995</v>
      </c>
    </row>
    <row r="11" spans="1:9">
      <c r="A11" s="107"/>
      <c r="B11" s="107"/>
      <c r="C11" s="107"/>
      <c r="D11" s="107"/>
      <c r="E11" s="107"/>
      <c r="F11" s="107"/>
      <c r="G11" s="107"/>
      <c r="H11" s="107" t="s">
        <v>121</v>
      </c>
      <c r="I11" s="107">
        <f>SUM(I5:I10)</f>
        <v>125032.57980000001</v>
      </c>
    </row>
    <row r="12" spans="1:9">
      <c r="A12" s="139"/>
      <c r="B12" s="105"/>
      <c r="C12" s="105"/>
      <c r="D12" s="44"/>
      <c r="E12" s="44"/>
      <c r="F12" s="44"/>
      <c r="G12" s="138"/>
      <c r="H12" s="107" t="s">
        <v>122</v>
      </c>
      <c r="I12" s="107">
        <f>I11*18/100</f>
        <v>22505.864364000001</v>
      </c>
    </row>
    <row r="13" spans="1:9">
      <c r="A13" s="139"/>
      <c r="B13" s="105"/>
      <c r="C13" s="105"/>
      <c r="D13" s="44"/>
      <c r="E13" s="44"/>
      <c r="F13" s="44"/>
      <c r="G13" s="138"/>
      <c r="H13" s="107"/>
      <c r="I13" s="107">
        <f>I12+I11</f>
        <v>147538.44416400002</v>
      </c>
    </row>
    <row r="14" spans="1:9">
      <c r="A14" s="139"/>
      <c r="B14" s="105"/>
      <c r="C14" s="105"/>
      <c r="D14" s="44"/>
      <c r="E14" s="44"/>
      <c r="F14" s="44"/>
      <c r="G14" s="138"/>
      <c r="H14" s="107" t="s">
        <v>123</v>
      </c>
      <c r="I14" s="107">
        <f>I13*1/100</f>
        <v>1475.3844416400002</v>
      </c>
    </row>
    <row r="15" spans="1:9">
      <c r="A15" s="139"/>
      <c r="B15" s="105"/>
      <c r="C15" s="105"/>
      <c r="D15" s="44"/>
      <c r="E15" s="44"/>
      <c r="F15" s="44"/>
      <c r="G15" s="138"/>
      <c r="H15" s="107" t="s">
        <v>121</v>
      </c>
      <c r="I15" s="107">
        <f>I14+I13</f>
        <v>149013.82860564001</v>
      </c>
    </row>
  </sheetData>
  <mergeCells count="3">
    <mergeCell ref="A1:I1"/>
    <mergeCell ref="A2:I2"/>
    <mergeCell ref="A3:I3"/>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G22"/>
  <sheetViews>
    <sheetView workbookViewId="0">
      <selection activeCell="B3" sqref="B3:F3"/>
    </sheetView>
  </sheetViews>
  <sheetFormatPr defaultRowHeight="63.75" customHeight="1"/>
  <cols>
    <col min="1" max="1" width="6.140625" style="87" customWidth="1"/>
    <col min="2" max="2" width="44.7109375" style="87" customWidth="1"/>
    <col min="3" max="5" width="9.28515625" style="87" customWidth="1"/>
    <col min="6" max="6" width="16.5703125" style="87" customWidth="1"/>
    <col min="7" max="16384" width="9.140625" style="87"/>
  </cols>
  <sheetData>
    <row r="1" spans="1:7" ht="22.5">
      <c r="B1" s="248" t="s">
        <v>49</v>
      </c>
      <c r="C1" s="248"/>
      <c r="D1" s="248"/>
      <c r="E1" s="248"/>
      <c r="F1" s="248"/>
    </row>
    <row r="2" spans="1:7" ht="15.75">
      <c r="B2" s="249" t="s">
        <v>1</v>
      </c>
      <c r="C2" s="249"/>
      <c r="D2" s="249"/>
      <c r="E2" s="249"/>
      <c r="F2" s="249"/>
    </row>
    <row r="3" spans="1:7" ht="31.5" customHeight="1">
      <c r="A3" s="109"/>
      <c r="B3" s="250" t="s">
        <v>124</v>
      </c>
      <c r="C3" s="250"/>
      <c r="D3" s="250"/>
      <c r="E3" s="250"/>
      <c r="F3" s="250"/>
      <c r="G3" s="88"/>
    </row>
    <row r="4" spans="1:7" ht="30" customHeight="1">
      <c r="A4" s="12" t="s">
        <v>51</v>
      </c>
      <c r="B4" s="12" t="s">
        <v>52</v>
      </c>
      <c r="C4" s="12" t="s">
        <v>53</v>
      </c>
      <c r="D4" s="12" t="s">
        <v>54</v>
      </c>
      <c r="E4" s="12" t="s">
        <v>55</v>
      </c>
      <c r="F4" s="89" t="s">
        <v>56</v>
      </c>
      <c r="G4" s="86"/>
    </row>
    <row r="5" spans="1:7" ht="141.75" customHeight="1">
      <c r="A5" s="12" t="s">
        <v>104</v>
      </c>
      <c r="B5" s="73" t="s">
        <v>105</v>
      </c>
      <c r="C5" s="89">
        <v>11.33</v>
      </c>
      <c r="D5" s="89" t="s">
        <v>11</v>
      </c>
      <c r="E5" s="89">
        <v>151.82</v>
      </c>
      <c r="F5" s="74">
        <f>ROUND(C5*E5,1)</f>
        <v>1720.1</v>
      </c>
      <c r="G5" s="86"/>
    </row>
    <row r="6" spans="1:7" ht="99" customHeight="1">
      <c r="A6" s="12" t="s">
        <v>12</v>
      </c>
      <c r="B6" s="59" t="s">
        <v>59</v>
      </c>
      <c r="C6" s="89">
        <v>8.5</v>
      </c>
      <c r="D6" s="89" t="s">
        <v>11</v>
      </c>
      <c r="E6" s="6">
        <v>347.85</v>
      </c>
      <c r="F6" s="74">
        <f t="shared" ref="F6:F16" si="0">ROUND(C6*E6,1)</f>
        <v>2956.7</v>
      </c>
      <c r="G6" s="86"/>
    </row>
    <row r="7" spans="1:7" ht="76.5">
      <c r="A7" s="12" t="s">
        <v>125</v>
      </c>
      <c r="B7" s="73" t="s">
        <v>61</v>
      </c>
      <c r="C7" s="89">
        <v>14.17</v>
      </c>
      <c r="D7" s="89" t="s">
        <v>11</v>
      </c>
      <c r="E7" s="60">
        <v>1756.4</v>
      </c>
      <c r="F7" s="74">
        <f t="shared" si="0"/>
        <v>24888.2</v>
      </c>
      <c r="G7" s="86"/>
    </row>
    <row r="8" spans="1:7" ht="76.5">
      <c r="A8" s="12" t="s">
        <v>126</v>
      </c>
      <c r="B8" s="73" t="s">
        <v>127</v>
      </c>
      <c r="C8" s="89">
        <v>67.03</v>
      </c>
      <c r="D8" s="89" t="s">
        <v>11</v>
      </c>
      <c r="E8" s="110">
        <v>4961.7299999999996</v>
      </c>
      <c r="F8" s="74">
        <f t="shared" si="0"/>
        <v>332584.8</v>
      </c>
      <c r="G8" s="86"/>
    </row>
    <row r="9" spans="1:7" ht="38.25">
      <c r="A9" s="12" t="s">
        <v>128</v>
      </c>
      <c r="B9" s="73" t="s">
        <v>129</v>
      </c>
      <c r="C9" s="74"/>
      <c r="D9" s="89"/>
      <c r="E9" s="110"/>
      <c r="F9" s="74"/>
      <c r="G9" s="86"/>
    </row>
    <row r="10" spans="1:7" ht="25.5">
      <c r="A10" s="12"/>
      <c r="B10" s="73" t="s">
        <v>130</v>
      </c>
      <c r="C10" s="110">
        <v>42.76</v>
      </c>
      <c r="D10" s="89" t="s">
        <v>71</v>
      </c>
      <c r="E10" s="110">
        <v>194.5</v>
      </c>
      <c r="F10" s="74">
        <f t="shared" si="0"/>
        <v>8316.7999999999993</v>
      </c>
      <c r="G10" s="86"/>
    </row>
    <row r="11" spans="1:7" ht="15.75" customHeight="1">
      <c r="A11" s="12">
        <v>6</v>
      </c>
      <c r="B11" s="111" t="s">
        <v>72</v>
      </c>
      <c r="C11" s="89"/>
      <c r="D11" s="89"/>
      <c r="E11" s="89"/>
      <c r="F11" s="74">
        <f t="shared" si="0"/>
        <v>0</v>
      </c>
      <c r="G11" s="86"/>
    </row>
    <row r="12" spans="1:7" ht="17.25" customHeight="1">
      <c r="A12" s="112" t="s">
        <v>35</v>
      </c>
      <c r="B12" s="13" t="s">
        <v>36</v>
      </c>
      <c r="C12" s="89">
        <f>[5]Sheet2!F7</f>
        <v>28.77</v>
      </c>
      <c r="D12" s="113" t="s">
        <v>96</v>
      </c>
      <c r="E12" s="44">
        <v>819.06</v>
      </c>
      <c r="F12" s="74">
        <f t="shared" si="0"/>
        <v>23564.400000000001</v>
      </c>
      <c r="G12" s="86"/>
    </row>
    <row r="13" spans="1:7" ht="17.25" customHeight="1">
      <c r="A13" s="114" t="s">
        <v>37</v>
      </c>
      <c r="B13" s="13" t="s">
        <v>73</v>
      </c>
      <c r="C13" s="89">
        <f>[5]Sheet2!E7</f>
        <v>8.5</v>
      </c>
      <c r="D13" s="113" t="s">
        <v>96</v>
      </c>
      <c r="E13" s="44">
        <f>E15</f>
        <v>417.3</v>
      </c>
      <c r="F13" s="74">
        <f t="shared" si="0"/>
        <v>3547.1</v>
      </c>
      <c r="G13" s="86"/>
    </row>
    <row r="14" spans="1:7" ht="21" customHeight="1">
      <c r="A14" s="114" t="s">
        <v>74</v>
      </c>
      <c r="B14" s="13" t="s">
        <v>75</v>
      </c>
      <c r="C14" s="89">
        <f>[5]Sheet2!H7</f>
        <v>14.17</v>
      </c>
      <c r="D14" s="113" t="s">
        <v>96</v>
      </c>
      <c r="E14" s="44">
        <v>648.59</v>
      </c>
      <c r="F14" s="74">
        <f t="shared" si="0"/>
        <v>9190.5</v>
      </c>
      <c r="G14" s="86"/>
    </row>
    <row r="15" spans="1:7" ht="22.5" customHeight="1">
      <c r="A15" s="114" t="s">
        <v>39</v>
      </c>
      <c r="B15" s="13" t="s">
        <v>40</v>
      </c>
      <c r="C15" s="89">
        <f>[5]Sheet2!G7</f>
        <v>57.54</v>
      </c>
      <c r="D15" s="113" t="s">
        <v>96</v>
      </c>
      <c r="E15" s="44">
        <v>417.3</v>
      </c>
      <c r="F15" s="74">
        <f t="shared" si="0"/>
        <v>24011.4</v>
      </c>
      <c r="G15" s="86"/>
    </row>
    <row r="16" spans="1:7" ht="23.25" customHeight="1">
      <c r="A16" s="114" t="s">
        <v>41</v>
      </c>
      <c r="B16" s="13" t="s">
        <v>42</v>
      </c>
      <c r="C16" s="89">
        <f>[5]Sheet2!I7</f>
        <v>11.33</v>
      </c>
      <c r="D16" s="113" t="s">
        <v>96</v>
      </c>
      <c r="E16" s="44">
        <v>117.54</v>
      </c>
      <c r="F16" s="74">
        <f t="shared" si="0"/>
        <v>1331.7</v>
      </c>
    </row>
    <row r="17" spans="1:6" ht="22.5" customHeight="1">
      <c r="A17" s="109"/>
      <c r="B17" s="245" t="s">
        <v>77</v>
      </c>
      <c r="C17" s="246"/>
      <c r="D17" s="246"/>
      <c r="E17" s="247"/>
      <c r="F17" s="99">
        <f>SUM(F5:F16)</f>
        <v>432111.7</v>
      </c>
    </row>
    <row r="18" spans="1:6" ht="22.5" customHeight="1">
      <c r="A18" s="109"/>
      <c r="B18" s="242" t="s">
        <v>110</v>
      </c>
      <c r="C18" s="243"/>
      <c r="D18" s="243"/>
      <c r="E18" s="244"/>
      <c r="F18" s="99">
        <f>F17*18%</f>
        <v>77780.106</v>
      </c>
    </row>
    <row r="19" spans="1:6" ht="22.5" customHeight="1">
      <c r="A19" s="109"/>
      <c r="B19" s="245" t="s">
        <v>111</v>
      </c>
      <c r="C19" s="246"/>
      <c r="D19" s="246"/>
      <c r="E19" s="247"/>
      <c r="F19" s="99">
        <f>SUM(F17:F18)</f>
        <v>509891.80599999998</v>
      </c>
    </row>
    <row r="20" spans="1:6" ht="22.5" customHeight="1">
      <c r="A20" s="109"/>
      <c r="B20" s="242" t="s">
        <v>112</v>
      </c>
      <c r="C20" s="243"/>
      <c r="D20" s="243"/>
      <c r="E20" s="244"/>
      <c r="F20" s="99">
        <f>ROUND(F19*1/100,0)</f>
        <v>5099</v>
      </c>
    </row>
    <row r="21" spans="1:6" ht="22.5" customHeight="1">
      <c r="A21" s="109"/>
      <c r="B21" s="245" t="s">
        <v>111</v>
      </c>
      <c r="C21" s="246"/>
      <c r="D21" s="246"/>
      <c r="E21" s="247"/>
      <c r="F21" s="99">
        <f>SUM(F19:F20)</f>
        <v>514990.80599999998</v>
      </c>
    </row>
    <row r="22" spans="1:6" ht="63.75" customHeight="1">
      <c r="C22" s="115"/>
      <c r="F22" s="116"/>
    </row>
  </sheetData>
  <mergeCells count="8">
    <mergeCell ref="B20:E20"/>
    <mergeCell ref="B21:E21"/>
    <mergeCell ref="B1:F1"/>
    <mergeCell ref="B2:F2"/>
    <mergeCell ref="B3:F3"/>
    <mergeCell ref="B17:E17"/>
    <mergeCell ref="B18:E18"/>
    <mergeCell ref="B19:E19"/>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G26"/>
  <sheetViews>
    <sheetView workbookViewId="0">
      <selection activeCell="B3" sqref="B3:F3"/>
    </sheetView>
  </sheetViews>
  <sheetFormatPr defaultRowHeight="63.75" customHeight="1"/>
  <cols>
    <col min="1" max="1" width="6.140625" style="87" customWidth="1"/>
    <col min="2" max="2" width="53" style="87" customWidth="1"/>
    <col min="3" max="3" width="8.5703125" style="87" bestFit="1" customWidth="1"/>
    <col min="4" max="4" width="5.28515625" style="87" customWidth="1"/>
    <col min="5" max="5" width="8.28515625" style="87" customWidth="1"/>
    <col min="6" max="6" width="13.140625" style="87" customWidth="1"/>
    <col min="7" max="16384" width="9.140625" style="87"/>
  </cols>
  <sheetData>
    <row r="1" spans="1:7" ht="22.5">
      <c r="B1" s="252" t="s">
        <v>49</v>
      </c>
      <c r="C1" s="252"/>
      <c r="D1" s="252"/>
      <c r="E1" s="252"/>
      <c r="F1" s="252"/>
    </row>
    <row r="2" spans="1:7" ht="15.75">
      <c r="B2" s="249" t="s">
        <v>1</v>
      </c>
      <c r="C2" s="249"/>
      <c r="D2" s="249"/>
      <c r="E2" s="249"/>
      <c r="F2" s="249"/>
    </row>
    <row r="3" spans="1:7" ht="31.5" customHeight="1">
      <c r="A3" s="109"/>
      <c r="B3" s="250" t="s">
        <v>131</v>
      </c>
      <c r="C3" s="250"/>
      <c r="D3" s="250"/>
      <c r="E3" s="250"/>
      <c r="F3" s="250"/>
      <c r="G3" s="88"/>
    </row>
    <row r="4" spans="1:7" ht="30" customHeight="1">
      <c r="A4" s="12" t="s">
        <v>51</v>
      </c>
      <c r="B4" s="12" t="s">
        <v>52</v>
      </c>
      <c r="C4" s="12" t="s">
        <v>53</v>
      </c>
      <c r="D4" s="12" t="s">
        <v>54</v>
      </c>
      <c r="E4" s="12" t="s">
        <v>55</v>
      </c>
      <c r="F4" s="89" t="s">
        <v>56</v>
      </c>
      <c r="G4" s="86"/>
    </row>
    <row r="5" spans="1:7" ht="114.75">
      <c r="A5" s="12" t="s">
        <v>104</v>
      </c>
      <c r="B5" s="73" t="s">
        <v>105</v>
      </c>
      <c r="C5" s="91">
        <v>5.67</v>
      </c>
      <c r="D5" s="91" t="s">
        <v>11</v>
      </c>
      <c r="E5" s="91">
        <v>151.82</v>
      </c>
      <c r="F5" s="74">
        <f>ROUND(C5*E5,2)</f>
        <v>860.82</v>
      </c>
      <c r="G5" s="86"/>
    </row>
    <row r="6" spans="1:7" ht="89.25">
      <c r="A6" s="12" t="s">
        <v>12</v>
      </c>
      <c r="B6" s="59" t="s">
        <v>59</v>
      </c>
      <c r="C6" s="91">
        <v>4.25</v>
      </c>
      <c r="D6" s="91" t="s">
        <v>11</v>
      </c>
      <c r="E6" s="6">
        <v>347.85</v>
      </c>
      <c r="F6" s="74">
        <f t="shared" ref="F6:F16" si="0">ROUND(C6*E6,2)</f>
        <v>1478.36</v>
      </c>
      <c r="G6" s="86"/>
    </row>
    <row r="7" spans="1:7">
      <c r="A7" s="12" t="s">
        <v>125</v>
      </c>
      <c r="B7" s="73" t="s">
        <v>61</v>
      </c>
      <c r="C7" s="91">
        <v>7.09</v>
      </c>
      <c r="D7" s="91" t="s">
        <v>11</v>
      </c>
      <c r="E7" s="60">
        <v>1756.4</v>
      </c>
      <c r="F7" s="74">
        <f t="shared" si="0"/>
        <v>12452.88</v>
      </c>
      <c r="G7" s="86"/>
    </row>
    <row r="8" spans="1:7">
      <c r="A8" s="12" t="s">
        <v>126</v>
      </c>
      <c r="B8" s="73" t="s">
        <v>127</v>
      </c>
      <c r="C8" s="74">
        <f>[6]Sheet1!G18</f>
        <v>67.97</v>
      </c>
      <c r="D8" s="91" t="s">
        <v>11</v>
      </c>
      <c r="E8" s="74">
        <v>4961.7299999999996</v>
      </c>
      <c r="F8" s="74">
        <f t="shared" si="0"/>
        <v>337248.79</v>
      </c>
      <c r="G8" s="86"/>
    </row>
    <row r="9" spans="1:7" ht="38.25">
      <c r="A9" s="12" t="s">
        <v>128</v>
      </c>
      <c r="B9" s="73" t="s">
        <v>129</v>
      </c>
      <c r="C9" s="74"/>
      <c r="D9" s="91"/>
      <c r="E9" s="74"/>
      <c r="F9" s="74"/>
      <c r="G9" s="86"/>
    </row>
    <row r="10" spans="1:7" ht="25.5">
      <c r="A10" s="12"/>
      <c r="B10" s="73" t="s">
        <v>130</v>
      </c>
      <c r="C10" s="74">
        <v>37.18</v>
      </c>
      <c r="D10" s="91" t="s">
        <v>71</v>
      </c>
      <c r="E10" s="74">
        <v>194.5</v>
      </c>
      <c r="F10" s="74">
        <f t="shared" si="0"/>
        <v>7231.51</v>
      </c>
      <c r="G10" s="86"/>
    </row>
    <row r="11" spans="1:7" ht="15.75" customHeight="1">
      <c r="A11" s="12">
        <v>6</v>
      </c>
      <c r="B11" s="111" t="s">
        <v>72</v>
      </c>
      <c r="C11" s="96"/>
      <c r="D11" s="96"/>
      <c r="E11" s="96"/>
      <c r="F11" s="74"/>
      <c r="G11" s="86"/>
    </row>
    <row r="12" spans="1:7" ht="17.25" customHeight="1">
      <c r="A12" s="112" t="s">
        <v>35</v>
      </c>
      <c r="B12" s="13" t="s">
        <v>36</v>
      </c>
      <c r="C12" s="96">
        <f>[6]Sheet2!F7</f>
        <v>29.16</v>
      </c>
      <c r="D12" s="97" t="s">
        <v>96</v>
      </c>
      <c r="E12" s="98">
        <v>819.06</v>
      </c>
      <c r="F12" s="74">
        <f t="shared" si="0"/>
        <v>23883.79</v>
      </c>
      <c r="G12" s="86"/>
    </row>
    <row r="13" spans="1:7" ht="17.25" customHeight="1">
      <c r="A13" s="114" t="s">
        <v>37</v>
      </c>
      <c r="B13" s="13" t="s">
        <v>73</v>
      </c>
      <c r="C13" s="96">
        <f>[6]Sheet2!E7</f>
        <v>4.25</v>
      </c>
      <c r="D13" s="97" t="s">
        <v>96</v>
      </c>
      <c r="E13" s="98">
        <f>E15</f>
        <v>417.3</v>
      </c>
      <c r="F13" s="74">
        <f t="shared" si="0"/>
        <v>1773.53</v>
      </c>
      <c r="G13" s="86"/>
    </row>
    <row r="14" spans="1:7" ht="21" customHeight="1">
      <c r="A14" s="114" t="s">
        <v>74</v>
      </c>
      <c r="B14" s="13" t="s">
        <v>75</v>
      </c>
      <c r="C14" s="96">
        <f>[6]Sheet2!H7</f>
        <v>7.09</v>
      </c>
      <c r="D14" s="97" t="s">
        <v>96</v>
      </c>
      <c r="E14" s="98">
        <v>648.59</v>
      </c>
      <c r="F14" s="74">
        <f t="shared" si="0"/>
        <v>4598.5</v>
      </c>
      <c r="G14" s="86"/>
    </row>
    <row r="15" spans="1:7" ht="22.5" customHeight="1">
      <c r="A15" s="114" t="s">
        <v>39</v>
      </c>
      <c r="B15" s="13" t="s">
        <v>40</v>
      </c>
      <c r="C15" s="96">
        <f>[6]Sheet2!G7</f>
        <v>58.32</v>
      </c>
      <c r="D15" s="97" t="s">
        <v>96</v>
      </c>
      <c r="E15" s="98">
        <v>417.3</v>
      </c>
      <c r="F15" s="74">
        <f t="shared" si="0"/>
        <v>24336.94</v>
      </c>
      <c r="G15" s="86"/>
    </row>
    <row r="16" spans="1:7" ht="23.25" customHeight="1">
      <c r="A16" s="114" t="s">
        <v>41</v>
      </c>
      <c r="B16" s="13" t="s">
        <v>42</v>
      </c>
      <c r="C16" s="96">
        <f>[6]Sheet2!I7</f>
        <v>5.67</v>
      </c>
      <c r="D16" s="97" t="s">
        <v>96</v>
      </c>
      <c r="E16" s="98">
        <v>117.54</v>
      </c>
      <c r="F16" s="74">
        <f t="shared" si="0"/>
        <v>666.45</v>
      </c>
    </row>
    <row r="17" spans="1:6" ht="12.75">
      <c r="A17" s="109"/>
      <c r="B17" s="245" t="s">
        <v>77</v>
      </c>
      <c r="C17" s="246"/>
      <c r="D17" s="246"/>
      <c r="E17" s="247"/>
      <c r="F17" s="99">
        <f>SUM(F5:F16)</f>
        <v>414531.57</v>
      </c>
    </row>
    <row r="18" spans="1:6" ht="12.75">
      <c r="A18" s="109"/>
      <c r="B18" s="242" t="s">
        <v>110</v>
      </c>
      <c r="C18" s="243"/>
      <c r="D18" s="243"/>
      <c r="E18" s="244"/>
      <c r="F18" s="99">
        <f>F17*18%</f>
        <v>74615.6826</v>
      </c>
    </row>
    <row r="19" spans="1:6" ht="12.75">
      <c r="A19" s="109"/>
      <c r="B19" s="245" t="s">
        <v>111</v>
      </c>
      <c r="C19" s="246"/>
      <c r="D19" s="246"/>
      <c r="E19" s="247"/>
      <c r="F19" s="99">
        <f>SUM(F17:F18)</f>
        <v>489147.25260000001</v>
      </c>
    </row>
    <row r="20" spans="1:6" ht="12.75">
      <c r="A20" s="109"/>
      <c r="B20" s="242" t="s">
        <v>112</v>
      </c>
      <c r="C20" s="243"/>
      <c r="D20" s="243"/>
      <c r="E20" s="244"/>
      <c r="F20" s="99">
        <f>ROUND(F19*1/100,0)</f>
        <v>4891</v>
      </c>
    </row>
    <row r="21" spans="1:6" ht="12.75">
      <c r="A21" s="109"/>
      <c r="B21" s="245" t="s">
        <v>111</v>
      </c>
      <c r="C21" s="246"/>
      <c r="D21" s="246"/>
      <c r="E21" s="247"/>
      <c r="F21" s="99">
        <f>SUM(F19:F20)</f>
        <v>494038.25260000001</v>
      </c>
    </row>
    <row r="24" spans="1:6" ht="26.25">
      <c r="A24" s="251"/>
      <c r="B24" s="251"/>
      <c r="C24" s="251"/>
      <c r="D24" s="251"/>
      <c r="E24" s="251"/>
      <c r="F24" s="251"/>
    </row>
    <row r="26" spans="1:6" ht="26.25">
      <c r="A26" s="251"/>
      <c r="B26" s="251"/>
      <c r="C26" s="251"/>
      <c r="D26" s="251"/>
      <c r="E26" s="251"/>
      <c r="F26" s="251"/>
    </row>
  </sheetData>
  <mergeCells count="10">
    <mergeCell ref="B20:E20"/>
    <mergeCell ref="B21:E21"/>
    <mergeCell ref="A24:F24"/>
    <mergeCell ref="A26:F26"/>
    <mergeCell ref="B1:F1"/>
    <mergeCell ref="B2:F2"/>
    <mergeCell ref="B3:F3"/>
    <mergeCell ref="B17:E17"/>
    <mergeCell ref="B18:E18"/>
    <mergeCell ref="B19:E19"/>
  </mergeCell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K25"/>
  <sheetViews>
    <sheetView workbookViewId="0">
      <selection activeCell="B3" sqref="B3:F3"/>
    </sheetView>
  </sheetViews>
  <sheetFormatPr defaultRowHeight="15"/>
  <cols>
    <col min="1" max="1" width="6.140625" customWidth="1"/>
    <col min="2" max="2" width="58.28515625" customWidth="1"/>
    <col min="3" max="3" width="12.5703125" bestFit="1" customWidth="1"/>
    <col min="4" max="4" width="5.28515625" customWidth="1"/>
    <col min="5" max="5" width="12" bestFit="1" customWidth="1"/>
    <col min="6" max="6" width="12.42578125" customWidth="1"/>
  </cols>
  <sheetData>
    <row r="1" spans="1:11" ht="19.5" customHeight="1">
      <c r="A1" s="20"/>
      <c r="B1" s="248" t="s">
        <v>49</v>
      </c>
      <c r="C1" s="248"/>
      <c r="D1" s="248"/>
      <c r="E1" s="248"/>
      <c r="F1" s="248"/>
    </row>
    <row r="2" spans="1:11" ht="20.25" customHeight="1">
      <c r="A2" s="20"/>
      <c r="B2" s="256" t="s">
        <v>1</v>
      </c>
      <c r="C2" s="256"/>
      <c r="D2" s="256"/>
      <c r="E2" s="256"/>
      <c r="F2" s="256"/>
    </row>
    <row r="3" spans="1:11" ht="43.5" customHeight="1">
      <c r="A3" s="20"/>
      <c r="B3" s="257" t="s">
        <v>132</v>
      </c>
      <c r="C3" s="257"/>
      <c r="D3" s="257"/>
      <c r="E3" s="257"/>
      <c r="F3" s="257"/>
    </row>
    <row r="4" spans="1:11" ht="25.5">
      <c r="A4" s="6" t="s">
        <v>51</v>
      </c>
      <c r="B4" s="6" t="s">
        <v>133</v>
      </c>
      <c r="C4" s="6" t="s">
        <v>53</v>
      </c>
      <c r="D4" s="6" t="s">
        <v>54</v>
      </c>
      <c r="E4" s="6" t="s">
        <v>55</v>
      </c>
      <c r="F4" s="6" t="s">
        <v>56</v>
      </c>
      <c r="K4">
        <f>150*3.28</f>
        <v>491.99999999999994</v>
      </c>
    </row>
    <row r="5" spans="1:11" ht="25.5">
      <c r="A5" s="12" t="s">
        <v>134</v>
      </c>
      <c r="B5" s="12" t="s">
        <v>135</v>
      </c>
      <c r="C5" s="57">
        <f>[7]Sheet1!G7</f>
        <v>1.1800245445105257</v>
      </c>
      <c r="D5" s="117" t="s">
        <v>136</v>
      </c>
      <c r="E5" s="118">
        <v>1993.04</v>
      </c>
      <c r="F5" s="57">
        <f>ROUND(C5*E5,2)</f>
        <v>2351.84</v>
      </c>
    </row>
    <row r="6" spans="1:11" ht="94.5">
      <c r="A6" s="55" t="s">
        <v>137</v>
      </c>
      <c r="B6" s="56" t="s">
        <v>58</v>
      </c>
      <c r="C6" s="57">
        <f>[7]Sheet1!G11</f>
        <v>80.713678844519961</v>
      </c>
      <c r="D6" s="58" t="s">
        <v>11</v>
      </c>
      <c r="E6" s="58">
        <v>167.33</v>
      </c>
      <c r="F6" s="57">
        <f t="shared" ref="F6:F20" si="0">ROUND(C6*E6,2)</f>
        <v>13505.82</v>
      </c>
    </row>
    <row r="7" spans="1:11" ht="89.25">
      <c r="A7" s="12" t="s">
        <v>12</v>
      </c>
      <c r="B7" s="59" t="s">
        <v>13</v>
      </c>
      <c r="C7" s="6">
        <f>[7]Sheet1!G15</f>
        <v>6.7299999999999995</v>
      </c>
      <c r="D7" s="6" t="s">
        <v>11</v>
      </c>
      <c r="E7" s="6">
        <v>347.85</v>
      </c>
      <c r="F7" s="57">
        <f t="shared" si="0"/>
        <v>2341.0300000000002</v>
      </c>
    </row>
    <row r="8" spans="1:11" ht="51">
      <c r="A8" s="12" t="s">
        <v>82</v>
      </c>
      <c r="B8" s="13" t="s">
        <v>61</v>
      </c>
      <c r="C8" s="6">
        <f>[7]Sheet1!G19</f>
        <v>11.22</v>
      </c>
      <c r="D8" s="6" t="s">
        <v>11</v>
      </c>
      <c r="E8" s="60">
        <v>1756.4</v>
      </c>
      <c r="F8" s="57">
        <f t="shared" si="0"/>
        <v>19706.810000000001</v>
      </c>
    </row>
    <row r="9" spans="1:11" ht="38.25">
      <c r="A9" s="12" t="s">
        <v>83</v>
      </c>
      <c r="B9" s="61" t="s">
        <v>84</v>
      </c>
      <c r="C9" s="60">
        <f>[7]Sheet1!G24</f>
        <v>9.42</v>
      </c>
      <c r="D9" s="6" t="s">
        <v>138</v>
      </c>
      <c r="E9" s="6">
        <v>4598.2299999999996</v>
      </c>
      <c r="F9" s="57">
        <f t="shared" si="0"/>
        <v>43315.33</v>
      </c>
    </row>
    <row r="10" spans="1:11" ht="38.25">
      <c r="A10" s="62" t="s">
        <v>85</v>
      </c>
      <c r="B10" s="61" t="s">
        <v>86</v>
      </c>
      <c r="C10" s="119">
        <f>[7]Sheet1!G28</f>
        <v>24.214103653355988</v>
      </c>
      <c r="D10" s="6" t="s">
        <v>11</v>
      </c>
      <c r="E10" s="120">
        <v>2987.47</v>
      </c>
      <c r="F10" s="57">
        <f t="shared" si="0"/>
        <v>72338.91</v>
      </c>
    </row>
    <row r="11" spans="1:11" ht="51">
      <c r="A11" s="121" t="s">
        <v>87</v>
      </c>
      <c r="B11" s="68" t="s">
        <v>88</v>
      </c>
      <c r="C11" s="122">
        <f>[7]Sheet1!G32</f>
        <v>206.0099132589838</v>
      </c>
      <c r="D11" s="6" t="s">
        <v>89</v>
      </c>
      <c r="E11" s="60">
        <v>313.3</v>
      </c>
      <c r="F11" s="57">
        <f t="shared" si="0"/>
        <v>64542.91</v>
      </c>
    </row>
    <row r="12" spans="1:11" ht="76.5">
      <c r="A12" s="114" t="s">
        <v>90</v>
      </c>
      <c r="B12" s="68" t="s">
        <v>91</v>
      </c>
      <c r="C12" s="60">
        <f>[7]Sheet1!G37</f>
        <v>24.26</v>
      </c>
      <c r="D12" s="6" t="s">
        <v>138</v>
      </c>
      <c r="E12" s="123">
        <v>6308.87</v>
      </c>
      <c r="F12" s="57">
        <f t="shared" si="0"/>
        <v>153053.19</v>
      </c>
    </row>
    <row r="13" spans="1:11" ht="51">
      <c r="A13" s="114" t="s">
        <v>92</v>
      </c>
      <c r="B13" s="68" t="s">
        <v>93</v>
      </c>
      <c r="C13" s="124">
        <f>[7]Sheet1!G41</f>
        <v>2.1419999999999999</v>
      </c>
      <c r="D13" s="6" t="s">
        <v>68</v>
      </c>
      <c r="E13" s="6">
        <v>82096.539999999994</v>
      </c>
      <c r="F13" s="57">
        <f t="shared" si="0"/>
        <v>175850.79</v>
      </c>
    </row>
    <row r="14" spans="1:11" ht="38.25">
      <c r="A14" s="12" t="s">
        <v>94</v>
      </c>
      <c r="B14" s="73" t="s">
        <v>139</v>
      </c>
      <c r="C14" s="74">
        <f>[7]Sheet1!G46</f>
        <v>57.01</v>
      </c>
      <c r="D14" s="91" t="s">
        <v>71</v>
      </c>
      <c r="E14" s="74">
        <v>194.5</v>
      </c>
      <c r="F14" s="57">
        <f t="shared" si="0"/>
        <v>11088.45</v>
      </c>
    </row>
    <row r="15" spans="1:11">
      <c r="A15" s="114">
        <v>11</v>
      </c>
      <c r="B15" s="125" t="s">
        <v>72</v>
      </c>
      <c r="C15" s="6"/>
      <c r="D15" s="6"/>
      <c r="E15" s="6"/>
      <c r="F15" s="57"/>
    </row>
    <row r="16" spans="1:11" ht="15.75">
      <c r="A16" s="112" t="s">
        <v>35</v>
      </c>
      <c r="B16" s="13" t="s">
        <v>36</v>
      </c>
      <c r="C16" s="6">
        <f>[7]Sheet2!F11</f>
        <v>30.549999999999997</v>
      </c>
      <c r="D16" s="120" t="s">
        <v>140</v>
      </c>
      <c r="E16" s="44">
        <v>819.06</v>
      </c>
      <c r="F16" s="57">
        <f t="shared" si="0"/>
        <v>25022.28</v>
      </c>
    </row>
    <row r="17" spans="1:6" ht="15.75">
      <c r="A17" s="114" t="s">
        <v>37</v>
      </c>
      <c r="B17" s="13" t="s">
        <v>38</v>
      </c>
      <c r="C17" s="6">
        <f>[7]Sheet2!E11</f>
        <v>6.7299999999999995</v>
      </c>
      <c r="D17" s="120" t="s">
        <v>140</v>
      </c>
      <c r="E17" s="45">
        <v>417.3</v>
      </c>
      <c r="F17" s="57">
        <f t="shared" si="0"/>
        <v>2808.43</v>
      </c>
    </row>
    <row r="18" spans="1:6" ht="15.75">
      <c r="A18" s="114" t="s">
        <v>74</v>
      </c>
      <c r="B18" s="13" t="s">
        <v>97</v>
      </c>
      <c r="C18" s="122">
        <f>[7]Sheet2!H11</f>
        <v>35.43410365335599</v>
      </c>
      <c r="D18" s="120" t="s">
        <v>140</v>
      </c>
      <c r="E18" s="45">
        <v>648.59</v>
      </c>
      <c r="F18" s="57">
        <f t="shared" si="0"/>
        <v>22982.21</v>
      </c>
    </row>
    <row r="19" spans="1:6" ht="15.75">
      <c r="A19" s="114" t="s">
        <v>39</v>
      </c>
      <c r="B19" s="13" t="s">
        <v>40</v>
      </c>
      <c r="C19" s="6">
        <f>[7]Sheet2!G11</f>
        <v>29.339999999999996</v>
      </c>
      <c r="D19" s="120" t="s">
        <v>140</v>
      </c>
      <c r="E19" s="45">
        <v>417.3</v>
      </c>
      <c r="F19" s="57">
        <f t="shared" si="0"/>
        <v>12243.58</v>
      </c>
    </row>
    <row r="20" spans="1:6" ht="15.75">
      <c r="A20" s="114" t="s">
        <v>41</v>
      </c>
      <c r="B20" s="13" t="s">
        <v>42</v>
      </c>
      <c r="C20" s="60">
        <f>[7]Sheet2!I11</f>
        <v>80.713678844519961</v>
      </c>
      <c r="D20" s="120" t="s">
        <v>140</v>
      </c>
      <c r="E20" s="44">
        <v>117.54</v>
      </c>
      <c r="F20" s="57">
        <f t="shared" si="0"/>
        <v>9487.09</v>
      </c>
    </row>
    <row r="21" spans="1:6">
      <c r="A21" s="83"/>
      <c r="B21" s="83"/>
      <c r="C21" s="83"/>
      <c r="D21" s="83"/>
      <c r="E21" s="83" t="s">
        <v>77</v>
      </c>
      <c r="F21" s="84">
        <f>SUM(F5:F20)</f>
        <v>630638.66999999993</v>
      </c>
    </row>
    <row r="22" spans="1:6">
      <c r="A22" s="258" t="s">
        <v>141</v>
      </c>
      <c r="B22" s="259"/>
      <c r="C22" s="259"/>
      <c r="D22" s="259"/>
      <c r="E22" s="260"/>
      <c r="F22" s="84">
        <f>F21*12%</f>
        <v>75676.640399999989</v>
      </c>
    </row>
    <row r="23" spans="1:6">
      <c r="A23" s="253" t="s">
        <v>101</v>
      </c>
      <c r="B23" s="254"/>
      <c r="C23" s="254"/>
      <c r="D23" s="254"/>
      <c r="E23" s="255"/>
      <c r="F23" s="84">
        <f>SUM(F21:F22)</f>
        <v>706315.31039999996</v>
      </c>
    </row>
    <row r="24" spans="1:6">
      <c r="A24" s="258" t="s">
        <v>102</v>
      </c>
      <c r="B24" s="259"/>
      <c r="C24" s="259"/>
      <c r="D24" s="259"/>
      <c r="E24" s="260"/>
      <c r="F24" s="85">
        <f>F23*1%</f>
        <v>7063.153104</v>
      </c>
    </row>
    <row r="25" spans="1:6">
      <c r="A25" s="253" t="s">
        <v>101</v>
      </c>
      <c r="B25" s="254"/>
      <c r="C25" s="254"/>
      <c r="D25" s="254"/>
      <c r="E25" s="255"/>
      <c r="F25" s="126">
        <f>SUM(F23:F24)</f>
        <v>713378.46350399998</v>
      </c>
    </row>
  </sheetData>
  <mergeCells count="7">
    <mergeCell ref="A25:E25"/>
    <mergeCell ref="B1:F1"/>
    <mergeCell ref="B2:F2"/>
    <mergeCell ref="B3:F3"/>
    <mergeCell ref="A22:E22"/>
    <mergeCell ref="A23:E23"/>
    <mergeCell ref="A24:E24"/>
  </mergeCell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F25"/>
  <sheetViews>
    <sheetView topLeftCell="A13" workbookViewId="0">
      <selection activeCell="E5" sqref="E5"/>
    </sheetView>
  </sheetViews>
  <sheetFormatPr defaultRowHeight="12"/>
  <cols>
    <col min="1" max="1" width="6.140625" style="127" customWidth="1"/>
    <col min="2" max="2" width="51.42578125" style="127" customWidth="1"/>
    <col min="3" max="3" width="13" style="127" customWidth="1"/>
    <col min="4" max="4" width="5.42578125" style="127" customWidth="1"/>
    <col min="5" max="5" width="8.85546875" style="127" customWidth="1"/>
    <col min="6" max="6" width="13" style="127" customWidth="1"/>
    <col min="7" max="16384" width="9.140625" style="127"/>
  </cols>
  <sheetData>
    <row r="1" spans="1:6" ht="30">
      <c r="A1" s="263" t="s">
        <v>142</v>
      </c>
      <c r="B1" s="263"/>
      <c r="C1" s="263"/>
      <c r="D1" s="263"/>
      <c r="E1" s="263"/>
      <c r="F1" s="263"/>
    </row>
    <row r="2" spans="1:6" ht="33">
      <c r="A2" s="128"/>
      <c r="B2" s="264" t="s">
        <v>1</v>
      </c>
      <c r="C2" s="264"/>
      <c r="D2" s="264"/>
      <c r="E2" s="264"/>
      <c r="F2" s="264"/>
    </row>
    <row r="3" spans="1:6" ht="15.75">
      <c r="A3" s="265" t="s">
        <v>143</v>
      </c>
      <c r="B3" s="266"/>
      <c r="C3" s="266"/>
      <c r="D3" s="266"/>
      <c r="E3" s="266"/>
      <c r="F3" s="266"/>
    </row>
    <row r="4" spans="1:6" ht="25.5">
      <c r="A4" s="129" t="s">
        <v>144</v>
      </c>
      <c r="B4" s="129" t="s">
        <v>145</v>
      </c>
      <c r="C4" s="129" t="s">
        <v>146</v>
      </c>
      <c r="D4" s="129" t="s">
        <v>54</v>
      </c>
      <c r="E4" s="129" t="s">
        <v>55</v>
      </c>
      <c r="F4" s="129" t="s">
        <v>56</v>
      </c>
    </row>
    <row r="5" spans="1:6" ht="114.75">
      <c r="A5" s="12" t="s">
        <v>147</v>
      </c>
      <c r="B5" s="73" t="s">
        <v>105</v>
      </c>
      <c r="C5" s="91">
        <f>[8]Sheet1!G9</f>
        <v>117.06</v>
      </c>
      <c r="D5" s="91" t="s">
        <v>11</v>
      </c>
      <c r="E5" s="58">
        <v>167.33</v>
      </c>
      <c r="F5" s="74">
        <f>ROUND(E5*C5,2)</f>
        <v>19587.650000000001</v>
      </c>
    </row>
    <row r="6" spans="1:6" ht="90">
      <c r="A6" s="12" t="s">
        <v>148</v>
      </c>
      <c r="B6" s="130" t="s">
        <v>149</v>
      </c>
      <c r="C6" s="91">
        <f>[8]Sheet1!G15</f>
        <v>70.240000000000009</v>
      </c>
      <c r="D6" s="91" t="s">
        <v>11</v>
      </c>
      <c r="E6" s="74">
        <v>1316.7</v>
      </c>
      <c r="F6" s="74">
        <f t="shared" ref="F6:F12" si="0">ROUND(E6*C6,2)</f>
        <v>92485.01</v>
      </c>
    </row>
    <row r="7" spans="1:6" ht="76.5">
      <c r="A7" s="12" t="s">
        <v>150</v>
      </c>
      <c r="B7" s="73" t="s">
        <v>151</v>
      </c>
      <c r="C7" s="74">
        <f>[8]Sheet1!G21</f>
        <v>2.71</v>
      </c>
      <c r="D7" s="91" t="s">
        <v>11</v>
      </c>
      <c r="E7" s="74">
        <v>4598.2299999999996</v>
      </c>
      <c r="F7" s="74">
        <f t="shared" si="0"/>
        <v>12461.2</v>
      </c>
    </row>
    <row r="8" spans="1:6" ht="108">
      <c r="A8" s="55" t="s">
        <v>152</v>
      </c>
      <c r="B8" s="56" t="s">
        <v>153</v>
      </c>
      <c r="C8" s="74">
        <f>[8]Sheet1!G28</f>
        <v>460.96999999999997</v>
      </c>
      <c r="D8" s="91" t="s">
        <v>71</v>
      </c>
      <c r="E8" s="57">
        <v>798</v>
      </c>
      <c r="F8" s="74">
        <f t="shared" si="0"/>
        <v>367854.06</v>
      </c>
    </row>
    <row r="9" spans="1:6" ht="18">
      <c r="A9" s="89">
        <v>5</v>
      </c>
      <c r="B9" s="131" t="s">
        <v>72</v>
      </c>
      <c r="C9" s="91"/>
      <c r="D9" s="91"/>
      <c r="E9" s="91"/>
      <c r="F9" s="74"/>
    </row>
    <row r="10" spans="1:6" ht="12.75">
      <c r="A10" s="11" t="s">
        <v>35</v>
      </c>
      <c r="B10" s="73" t="s">
        <v>154</v>
      </c>
      <c r="C10" s="74">
        <f>[8]Sheet2!E6</f>
        <v>1.17</v>
      </c>
      <c r="D10" s="91" t="s">
        <v>11</v>
      </c>
      <c r="E10" s="91">
        <v>819.06</v>
      </c>
      <c r="F10" s="74">
        <f t="shared" si="0"/>
        <v>958.3</v>
      </c>
    </row>
    <row r="11" spans="1:6" ht="15">
      <c r="A11" s="89" t="s">
        <v>37</v>
      </c>
      <c r="B11" s="73" t="s">
        <v>40</v>
      </c>
      <c r="C11" s="91">
        <f>[8]Sheet2!D6</f>
        <v>91.54</v>
      </c>
      <c r="D11" s="91" t="s">
        <v>11</v>
      </c>
      <c r="E11" s="44">
        <v>417.3</v>
      </c>
      <c r="F11" s="74">
        <f t="shared" si="0"/>
        <v>38199.64</v>
      </c>
    </row>
    <row r="12" spans="1:6" ht="15">
      <c r="A12" s="89" t="s">
        <v>74</v>
      </c>
      <c r="B12" s="96" t="s">
        <v>42</v>
      </c>
      <c r="C12" s="74">
        <f>[8]Sheet2!F6</f>
        <v>117.06</v>
      </c>
      <c r="D12" s="91" t="s">
        <v>11</v>
      </c>
      <c r="E12" s="44">
        <v>117.54</v>
      </c>
      <c r="F12" s="74">
        <f t="shared" si="0"/>
        <v>13759.23</v>
      </c>
    </row>
    <row r="13" spans="1:6" ht="12.75">
      <c r="A13" s="132"/>
      <c r="B13" s="109"/>
      <c r="C13" s="109"/>
      <c r="D13" s="109"/>
      <c r="E13" s="133" t="s">
        <v>77</v>
      </c>
      <c r="F13" s="74">
        <f>SUM(F5:F12)</f>
        <v>545305.09</v>
      </c>
    </row>
    <row r="14" spans="1:6" ht="12.75">
      <c r="A14" s="132"/>
      <c r="B14" s="109"/>
      <c r="C14" s="267"/>
      <c r="D14" s="267"/>
      <c r="E14" s="267"/>
      <c r="F14" s="74">
        <f>ROUND(F13*18/100,0)</f>
        <v>98155</v>
      </c>
    </row>
    <row r="15" spans="1:6" ht="12.75">
      <c r="A15" s="132"/>
      <c r="B15" s="109"/>
      <c r="C15" s="109"/>
      <c r="D15" s="267" t="s">
        <v>155</v>
      </c>
      <c r="E15" s="267"/>
      <c r="F15" s="74">
        <f>SUM(F13:F14)</f>
        <v>643460.09</v>
      </c>
    </row>
    <row r="16" spans="1:6" ht="12.75">
      <c r="A16" s="132"/>
      <c r="B16" s="109"/>
      <c r="C16" s="268"/>
      <c r="D16" s="268"/>
      <c r="E16" s="262"/>
      <c r="F16" s="74">
        <f>ROUND(F15*1/100,0)</f>
        <v>6435</v>
      </c>
    </row>
    <row r="17" spans="1:6" ht="12.75">
      <c r="A17" s="132"/>
      <c r="B17" s="109"/>
      <c r="C17" s="109"/>
      <c r="D17" s="261" t="s">
        <v>155</v>
      </c>
      <c r="E17" s="262"/>
      <c r="F17" s="74">
        <f>SUM(F15:F16)</f>
        <v>649895.09</v>
      </c>
    </row>
    <row r="18" spans="1:6" ht="13.5">
      <c r="B18" s="134"/>
      <c r="C18" s="134"/>
      <c r="D18" s="134"/>
      <c r="E18" s="134"/>
      <c r="F18" s="134"/>
    </row>
    <row r="21" spans="1:6" ht="15">
      <c r="A21" s="135"/>
      <c r="C21" s="136"/>
    </row>
    <row r="22" spans="1:6" ht="15">
      <c r="A22" s="135"/>
    </row>
    <row r="23" spans="1:6" ht="21">
      <c r="A23" s="135"/>
      <c r="B23" s="137"/>
      <c r="C23" s="137"/>
      <c r="D23" s="137"/>
      <c r="E23" s="137"/>
      <c r="F23" s="135"/>
    </row>
    <row r="24" spans="1:6" ht="21">
      <c r="B24" s="137"/>
      <c r="C24" s="137"/>
      <c r="D24" s="137"/>
      <c r="E24" s="137"/>
      <c r="F24" s="135"/>
    </row>
    <row r="25" spans="1:6" ht="21">
      <c r="B25" s="137"/>
      <c r="C25" s="137"/>
      <c r="D25" s="137"/>
      <c r="E25" s="137"/>
      <c r="F25" s="135"/>
    </row>
  </sheetData>
  <mergeCells count="7">
    <mergeCell ref="D17:E17"/>
    <mergeCell ref="A1:F1"/>
    <mergeCell ref="B2:F2"/>
    <mergeCell ref="A3:F3"/>
    <mergeCell ref="C14:E14"/>
    <mergeCell ref="D15:E15"/>
    <mergeCell ref="C16:E16"/>
  </mergeCells>
  <pageMargins left="0.7" right="0.7" top="0.75" bottom="0.75" header="0.3" footer="0.3"/>
</worksheet>
</file>

<file path=xl/worksheets/sheet15.xml><?xml version="1.0" encoding="utf-8"?>
<worksheet xmlns="http://schemas.openxmlformats.org/spreadsheetml/2006/main" xmlns:r="http://schemas.openxmlformats.org/officeDocument/2006/relationships">
  <sheetPr>
    <tabColor theme="0" tint="-4.9989318521683403E-2"/>
  </sheetPr>
  <dimension ref="A1:F25"/>
  <sheetViews>
    <sheetView tabSelected="1" topLeftCell="A7" workbookViewId="0">
      <selection activeCell="C7" sqref="C7"/>
    </sheetView>
  </sheetViews>
  <sheetFormatPr defaultRowHeight="15"/>
  <cols>
    <col min="1" max="1" width="6.140625" customWidth="1"/>
    <col min="2" max="2" width="55.42578125" customWidth="1"/>
    <col min="3" max="3" width="12.5703125" bestFit="1" customWidth="1"/>
    <col min="4" max="4" width="5.28515625" customWidth="1"/>
    <col min="5" max="5" width="12" bestFit="1" customWidth="1"/>
    <col min="6" max="6" width="12.42578125" customWidth="1"/>
  </cols>
  <sheetData>
    <row r="1" spans="1:6" ht="22.5">
      <c r="A1" s="20"/>
      <c r="B1" s="248" t="s">
        <v>49</v>
      </c>
      <c r="C1" s="248"/>
      <c r="D1" s="248"/>
      <c r="E1" s="248"/>
      <c r="F1" s="248"/>
    </row>
    <row r="2" spans="1:6" ht="22.5">
      <c r="A2" s="20"/>
      <c r="B2" s="248" t="s">
        <v>1</v>
      </c>
      <c r="C2" s="248"/>
      <c r="D2" s="248"/>
      <c r="E2" s="248"/>
      <c r="F2" s="248"/>
    </row>
    <row r="3" spans="1:6" ht="33" customHeight="1">
      <c r="A3" s="20"/>
      <c r="B3" s="257" t="s">
        <v>156</v>
      </c>
      <c r="C3" s="257"/>
      <c r="D3" s="257"/>
      <c r="E3" s="257"/>
      <c r="F3" s="257"/>
    </row>
    <row r="4" spans="1:6" ht="25.5">
      <c r="A4" s="6" t="s">
        <v>51</v>
      </c>
      <c r="B4" s="6" t="s">
        <v>81</v>
      </c>
      <c r="C4" s="6" t="s">
        <v>53</v>
      </c>
      <c r="D4" s="6" t="s">
        <v>54</v>
      </c>
      <c r="E4" s="6" t="s">
        <v>55</v>
      </c>
      <c r="F4" s="6" t="s">
        <v>56</v>
      </c>
    </row>
    <row r="5" spans="1:6" ht="25.5">
      <c r="A5" s="12" t="s">
        <v>134</v>
      </c>
      <c r="B5" s="12" t="s">
        <v>135</v>
      </c>
      <c r="C5" s="57">
        <f>[9]Sheet1!G7</f>
        <v>2.3600490890210515</v>
      </c>
      <c r="D5" s="6" t="s">
        <v>136</v>
      </c>
      <c r="E5" s="57">
        <v>1993.04</v>
      </c>
      <c r="F5" s="57">
        <f>ROUND(C5*E5,2)</f>
        <v>4703.67</v>
      </c>
    </row>
    <row r="6" spans="1:6" ht="94.5">
      <c r="A6" s="55" t="s">
        <v>137</v>
      </c>
      <c r="B6" s="56" t="s">
        <v>58</v>
      </c>
      <c r="C6" s="57">
        <f>[9]Sheet1!G11</f>
        <v>53.809107901444349</v>
      </c>
      <c r="D6" s="58" t="s">
        <v>11</v>
      </c>
      <c r="E6" s="58">
        <v>167.33</v>
      </c>
      <c r="F6" s="57">
        <f t="shared" ref="F6:F20" si="0">ROUND(C6*E6,2)</f>
        <v>9003.8799999999992</v>
      </c>
    </row>
    <row r="7" spans="1:6" ht="89.25">
      <c r="A7" s="12" t="s">
        <v>12</v>
      </c>
      <c r="B7" s="59" t="s">
        <v>13</v>
      </c>
      <c r="C7" s="6">
        <f>[9]Sheet1!G15</f>
        <v>4.25</v>
      </c>
      <c r="D7" s="6" t="s">
        <v>11</v>
      </c>
      <c r="E7" s="6">
        <v>347.85</v>
      </c>
      <c r="F7" s="57">
        <f t="shared" si="0"/>
        <v>1478.36</v>
      </c>
    </row>
    <row r="8" spans="1:6" ht="63.75">
      <c r="A8" s="12" t="s">
        <v>82</v>
      </c>
      <c r="B8" s="13" t="s">
        <v>61</v>
      </c>
      <c r="C8" s="6">
        <f>[9]Sheet1!G19</f>
        <v>7.09</v>
      </c>
      <c r="D8" s="6" t="s">
        <v>11</v>
      </c>
      <c r="E8" s="60">
        <v>1756.4</v>
      </c>
      <c r="F8" s="57">
        <f t="shared" si="0"/>
        <v>12452.88</v>
      </c>
    </row>
    <row r="9" spans="1:6" ht="38.25">
      <c r="A9" s="12" t="s">
        <v>83</v>
      </c>
      <c r="B9" s="61" t="s">
        <v>157</v>
      </c>
      <c r="C9" s="122">
        <f>[9]Sheet1!G25</f>
        <v>18.650000000000002</v>
      </c>
      <c r="D9" s="6" t="s">
        <v>11</v>
      </c>
      <c r="E9" s="60">
        <v>4598.2299999999996</v>
      </c>
      <c r="F9" s="57">
        <f t="shared" si="0"/>
        <v>85756.99</v>
      </c>
    </row>
    <row r="10" spans="1:6" ht="51">
      <c r="A10" s="62" t="s">
        <v>85</v>
      </c>
      <c r="B10" s="61" t="s">
        <v>86</v>
      </c>
      <c r="C10" s="63">
        <f>[9]Sheet1!G29</f>
        <v>12.744265080713678</v>
      </c>
      <c r="D10" s="6" t="s">
        <v>11</v>
      </c>
      <c r="E10" s="120">
        <v>2987.47</v>
      </c>
      <c r="F10" s="57">
        <f t="shared" si="0"/>
        <v>38073.11</v>
      </c>
    </row>
    <row r="11" spans="1:6" ht="63.75">
      <c r="A11" s="121" t="s">
        <v>87</v>
      </c>
      <c r="B11" s="68" t="s">
        <v>88</v>
      </c>
      <c r="C11" s="122">
        <f>[9]Sheet1!G33</f>
        <v>108.42627013630725</v>
      </c>
      <c r="D11" s="6" t="s">
        <v>89</v>
      </c>
      <c r="E11" s="60">
        <v>313.3</v>
      </c>
      <c r="F11" s="57">
        <f t="shared" si="0"/>
        <v>33969.949999999997</v>
      </c>
    </row>
    <row r="12" spans="1:6" ht="89.25">
      <c r="A12" s="114" t="s">
        <v>90</v>
      </c>
      <c r="B12" s="68" t="s">
        <v>91</v>
      </c>
      <c r="C12" s="60">
        <f>[9]Sheet1!G37</f>
        <v>8.5</v>
      </c>
      <c r="D12" s="6" t="s">
        <v>11</v>
      </c>
      <c r="E12" s="103">
        <v>6308.87</v>
      </c>
      <c r="F12" s="57">
        <f t="shared" si="0"/>
        <v>53625.4</v>
      </c>
    </row>
    <row r="13" spans="1:6" ht="51">
      <c r="A13" s="114" t="s">
        <v>92</v>
      </c>
      <c r="B13" s="68" t="s">
        <v>93</v>
      </c>
      <c r="C13" s="124">
        <f>[9]Sheet1!G41</f>
        <v>0.75</v>
      </c>
      <c r="D13" s="6" t="s">
        <v>68</v>
      </c>
      <c r="E13" s="12">
        <v>82096.539999999994</v>
      </c>
      <c r="F13" s="57">
        <f t="shared" si="0"/>
        <v>61572.41</v>
      </c>
    </row>
    <row r="14" spans="1:6" ht="38.25">
      <c r="A14" s="12" t="s">
        <v>94</v>
      </c>
      <c r="B14" s="73" t="s">
        <v>129</v>
      </c>
      <c r="C14" s="74">
        <f>[9]Sheet1!G46</f>
        <v>46.47</v>
      </c>
      <c r="D14" s="89" t="s">
        <v>71</v>
      </c>
      <c r="E14" s="110">
        <v>194.5</v>
      </c>
      <c r="F14" s="57">
        <f t="shared" si="0"/>
        <v>9038.42</v>
      </c>
    </row>
    <row r="15" spans="1:6">
      <c r="A15" s="114">
        <v>11</v>
      </c>
      <c r="B15" s="77" t="s">
        <v>72</v>
      </c>
      <c r="C15" s="12"/>
      <c r="D15" s="12"/>
      <c r="E15" s="12"/>
      <c r="F15" s="57">
        <f t="shared" si="0"/>
        <v>0</v>
      </c>
    </row>
    <row r="16" spans="1:6" ht="15.75">
      <c r="A16" s="112" t="s">
        <v>35</v>
      </c>
      <c r="B16" s="13" t="s">
        <v>36</v>
      </c>
      <c r="C16" s="6">
        <f>[9]Sheet2!F11</f>
        <v>20.46</v>
      </c>
      <c r="D16" s="113" t="s">
        <v>96</v>
      </c>
      <c r="E16" s="44">
        <v>819.06</v>
      </c>
      <c r="F16" s="57">
        <f t="shared" si="0"/>
        <v>16757.97</v>
      </c>
    </row>
    <row r="17" spans="1:6" ht="15.75">
      <c r="A17" s="114" t="s">
        <v>37</v>
      </c>
      <c r="B17" s="13" t="s">
        <v>38</v>
      </c>
      <c r="C17" s="6">
        <f>[9]Sheet2!E11</f>
        <v>4.25</v>
      </c>
      <c r="D17" s="113" t="s">
        <v>96</v>
      </c>
      <c r="E17" s="45">
        <v>417.3</v>
      </c>
      <c r="F17" s="57">
        <f t="shared" si="0"/>
        <v>1773.53</v>
      </c>
    </row>
    <row r="18" spans="1:6" ht="15.75">
      <c r="A18" s="114" t="s">
        <v>74</v>
      </c>
      <c r="B18" s="13" t="s">
        <v>97</v>
      </c>
      <c r="C18" s="122">
        <f>[9]Sheet2!H11</f>
        <v>19.834265080713678</v>
      </c>
      <c r="D18" s="113" t="s">
        <v>96</v>
      </c>
      <c r="E18" s="45">
        <v>648.59</v>
      </c>
      <c r="F18" s="57">
        <f t="shared" si="0"/>
        <v>12864.31</v>
      </c>
    </row>
    <row r="19" spans="1:6" ht="15.75">
      <c r="A19" s="114" t="s">
        <v>39</v>
      </c>
      <c r="B19" s="13" t="s">
        <v>40</v>
      </c>
      <c r="C19" s="6">
        <f>[9]Sheet2!G11</f>
        <v>24.12</v>
      </c>
      <c r="D19" s="113" t="s">
        <v>96</v>
      </c>
      <c r="E19" s="45">
        <v>417.3</v>
      </c>
      <c r="F19" s="57">
        <f t="shared" si="0"/>
        <v>10065.280000000001</v>
      </c>
    </row>
    <row r="20" spans="1:6" ht="15.75">
      <c r="A20" s="114" t="s">
        <v>41</v>
      </c>
      <c r="B20" s="13" t="s">
        <v>42</v>
      </c>
      <c r="C20" s="60">
        <f>[9]Sheet2!I11</f>
        <v>53.809107901444349</v>
      </c>
      <c r="D20" s="113" t="s">
        <v>96</v>
      </c>
      <c r="E20" s="44">
        <v>117.54</v>
      </c>
      <c r="F20" s="57">
        <f t="shared" si="0"/>
        <v>6324.72</v>
      </c>
    </row>
    <row r="21" spans="1:6">
      <c r="A21" s="82"/>
      <c r="B21" s="82"/>
      <c r="C21" s="12"/>
      <c r="D21" s="12"/>
      <c r="E21" s="6" t="s">
        <v>77</v>
      </c>
      <c r="F21" s="45">
        <f>SUM(F5:F20)</f>
        <v>357460.88000000006</v>
      </c>
    </row>
    <row r="22" spans="1:6">
      <c r="A22" s="269" t="s">
        <v>141</v>
      </c>
      <c r="B22" s="270"/>
      <c r="C22" s="270"/>
      <c r="D22" s="270"/>
      <c r="E22" s="271"/>
      <c r="F22" s="84">
        <f>F21*12%</f>
        <v>42895.305600000007</v>
      </c>
    </row>
    <row r="23" spans="1:6">
      <c r="A23" s="253" t="s">
        <v>101</v>
      </c>
      <c r="B23" s="254"/>
      <c r="C23" s="254"/>
      <c r="D23" s="254"/>
      <c r="E23" s="255"/>
      <c r="F23" s="84">
        <f>SUM(F21:F22)</f>
        <v>400356.18560000008</v>
      </c>
    </row>
    <row r="24" spans="1:6">
      <c r="A24" s="269" t="s">
        <v>102</v>
      </c>
      <c r="B24" s="270"/>
      <c r="C24" s="270"/>
      <c r="D24" s="270"/>
      <c r="E24" s="271"/>
      <c r="F24" s="85">
        <f>F23*1%</f>
        <v>4003.5618560000007</v>
      </c>
    </row>
    <row r="25" spans="1:6">
      <c r="A25" s="253" t="s">
        <v>101</v>
      </c>
      <c r="B25" s="254"/>
      <c r="C25" s="254"/>
      <c r="D25" s="254"/>
      <c r="E25" s="255"/>
      <c r="F25" s="300">
        <f>SUM(F23:F24)</f>
        <v>404359.74745600007</v>
      </c>
    </row>
  </sheetData>
  <mergeCells count="7">
    <mergeCell ref="A25:E25"/>
    <mergeCell ref="B1:F1"/>
    <mergeCell ref="B2:F2"/>
    <mergeCell ref="B3:F3"/>
    <mergeCell ref="A22:E22"/>
    <mergeCell ref="A23:E23"/>
    <mergeCell ref="A24:E24"/>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dimension ref="A1:F27"/>
  <sheetViews>
    <sheetView workbookViewId="0">
      <selection activeCell="A3" sqref="A3:F3"/>
    </sheetView>
  </sheetViews>
  <sheetFormatPr defaultRowHeight="15"/>
  <cols>
    <col min="1" max="1" width="6.85546875" customWidth="1"/>
    <col min="2" max="2" width="44.42578125" customWidth="1"/>
    <col min="3" max="3" width="10.5703125" customWidth="1"/>
    <col min="4" max="4" width="8.28515625" customWidth="1"/>
    <col min="5" max="5" width="11.28515625" customWidth="1"/>
    <col min="6" max="6" width="22.42578125" customWidth="1"/>
  </cols>
  <sheetData>
    <row r="1" spans="1:6" ht="23.25">
      <c r="A1" s="276" t="s">
        <v>0</v>
      </c>
      <c r="B1" s="277"/>
      <c r="C1" s="277"/>
      <c r="D1" s="277"/>
      <c r="E1" s="277"/>
      <c r="F1" s="278"/>
    </row>
    <row r="2" spans="1:6" ht="23.25">
      <c r="A2" s="279" t="s">
        <v>1</v>
      </c>
      <c r="B2" s="280"/>
      <c r="C2" s="280"/>
      <c r="D2" s="280"/>
      <c r="E2" s="280"/>
      <c r="F2" s="281"/>
    </row>
    <row r="3" spans="1:6" ht="37.5" customHeight="1">
      <c r="A3" s="282" t="s">
        <v>2</v>
      </c>
      <c r="B3" s="283"/>
      <c r="C3" s="283"/>
      <c r="D3" s="283"/>
      <c r="E3" s="283"/>
      <c r="F3" s="284"/>
    </row>
    <row r="4" spans="1:6">
      <c r="A4" s="285" t="s">
        <v>3</v>
      </c>
      <c r="B4" s="286" t="s">
        <v>4</v>
      </c>
      <c r="C4" s="285" t="s">
        <v>5</v>
      </c>
      <c r="D4" s="286" t="s">
        <v>6</v>
      </c>
      <c r="E4" s="286" t="s">
        <v>7</v>
      </c>
      <c r="F4" s="286" t="s">
        <v>8</v>
      </c>
    </row>
    <row r="5" spans="1:6">
      <c r="A5" s="285"/>
      <c r="B5" s="286"/>
      <c r="C5" s="285"/>
      <c r="D5" s="286"/>
      <c r="E5" s="286"/>
      <c r="F5" s="286"/>
    </row>
    <row r="6" spans="1:6" ht="38.25" customHeight="1">
      <c r="A6" s="1" t="s">
        <v>9</v>
      </c>
      <c r="B6" s="2" t="s">
        <v>10</v>
      </c>
      <c r="C6" s="3">
        <f>'[10]Park at harmu'!G12</f>
        <v>20.883795837462838</v>
      </c>
      <c r="D6" s="4" t="s">
        <v>11</v>
      </c>
      <c r="E6" s="5">
        <v>167.33</v>
      </c>
      <c r="F6" s="3">
        <f>ROUND(E6*C6,2)</f>
        <v>3494.49</v>
      </c>
    </row>
    <row r="7" spans="1:6" ht="54" customHeight="1">
      <c r="A7" s="1" t="s">
        <v>12</v>
      </c>
      <c r="B7" s="2" t="s">
        <v>13</v>
      </c>
      <c r="C7" s="3">
        <f>'[10]Park at harmu'!G17</f>
        <v>2.4141476709613481</v>
      </c>
      <c r="D7" s="4" t="s">
        <v>11</v>
      </c>
      <c r="E7" s="6">
        <v>347.85</v>
      </c>
      <c r="F7" s="3">
        <f t="shared" ref="F7:F22" si="0">ROUND(E7*C7,2)</f>
        <v>839.76</v>
      </c>
    </row>
    <row r="8" spans="1:6" ht="25.5">
      <c r="A8" s="1" t="s">
        <v>14</v>
      </c>
      <c r="B8" s="2" t="s">
        <v>15</v>
      </c>
      <c r="C8" s="3">
        <f>'[10]Park at harmu'!G22</f>
        <v>31.693540892193308</v>
      </c>
      <c r="D8" s="4" t="s">
        <v>16</v>
      </c>
      <c r="E8" s="7">
        <v>330.34</v>
      </c>
      <c r="F8" s="3">
        <f t="shared" si="0"/>
        <v>10469.64</v>
      </c>
    </row>
    <row r="9" spans="1:6" ht="52.5" customHeight="1">
      <c r="A9" s="1" t="s">
        <v>17</v>
      </c>
      <c r="B9" s="2" t="s">
        <v>18</v>
      </c>
      <c r="C9" s="3">
        <f>'[10]Park at harmu'!G25</f>
        <v>4.4598612487611495</v>
      </c>
      <c r="D9" s="4" t="s">
        <v>11</v>
      </c>
      <c r="E9" s="3">
        <v>5989.72</v>
      </c>
      <c r="F9" s="3">
        <f t="shared" si="0"/>
        <v>26713.32</v>
      </c>
    </row>
    <row r="10" spans="1:6" ht="56.25" customHeight="1">
      <c r="A10" s="1" t="s">
        <v>19</v>
      </c>
      <c r="B10" s="2" t="s">
        <v>20</v>
      </c>
      <c r="C10" s="3">
        <f>'[10]Park at harmu'!G29</f>
        <v>7.1774662954048463</v>
      </c>
      <c r="D10" s="4" t="s">
        <v>11</v>
      </c>
      <c r="E10" s="5">
        <v>6308.87</v>
      </c>
      <c r="F10" s="3">
        <f t="shared" si="0"/>
        <v>45281.7</v>
      </c>
    </row>
    <row r="11" spans="1:6" ht="55.5" customHeight="1">
      <c r="A11" s="1" t="s">
        <v>21</v>
      </c>
      <c r="B11" s="2" t="s">
        <v>22</v>
      </c>
      <c r="C11" s="3">
        <f>'[10]Park at harmu'!G34</f>
        <v>43.053667516284335</v>
      </c>
      <c r="D11" s="4" t="s">
        <v>11</v>
      </c>
      <c r="E11" s="8">
        <v>5110.26</v>
      </c>
      <c r="F11" s="3">
        <f t="shared" si="0"/>
        <v>220015.43</v>
      </c>
    </row>
    <row r="12" spans="1:6" ht="52.5" customHeight="1">
      <c r="A12" s="1" t="s">
        <v>23</v>
      </c>
      <c r="B12" s="2" t="s">
        <v>24</v>
      </c>
      <c r="C12" s="3">
        <f>'[10]Park at harmu'!G37</f>
        <v>5.7821202681015764</v>
      </c>
      <c r="D12" s="4" t="s">
        <v>11</v>
      </c>
      <c r="E12" s="5">
        <v>6308.87</v>
      </c>
      <c r="F12" s="3">
        <f t="shared" si="0"/>
        <v>36478.65</v>
      </c>
    </row>
    <row r="13" spans="1:6" ht="51">
      <c r="A13" s="1" t="s">
        <v>25</v>
      </c>
      <c r="B13" s="2" t="s">
        <v>26</v>
      </c>
      <c r="C13" s="9">
        <f>'[10]Park at harmu'!G46</f>
        <v>0.99652500000000011</v>
      </c>
      <c r="D13" s="4" t="s">
        <v>27</v>
      </c>
      <c r="E13" s="5">
        <v>80879.070000000007</v>
      </c>
      <c r="F13" s="3">
        <f t="shared" si="0"/>
        <v>80598.02</v>
      </c>
    </row>
    <row r="14" spans="1:6" ht="51">
      <c r="A14" s="1" t="s">
        <v>28</v>
      </c>
      <c r="B14" s="2" t="s">
        <v>29</v>
      </c>
      <c r="C14" s="9">
        <f>'[10]Park at harmu'!G47</f>
        <v>0.66435000000000022</v>
      </c>
      <c r="D14" s="4" t="s">
        <v>27</v>
      </c>
      <c r="E14" s="5">
        <v>83314.02</v>
      </c>
      <c r="F14" s="3">
        <f t="shared" si="0"/>
        <v>55349.67</v>
      </c>
    </row>
    <row r="15" spans="1:6" ht="25.5">
      <c r="A15" s="1" t="s">
        <v>30</v>
      </c>
      <c r="B15" s="2" t="s">
        <v>31</v>
      </c>
      <c r="C15" s="3">
        <f>'[10]Park at harmu'!G53</f>
        <v>201.363073110285</v>
      </c>
      <c r="D15" s="4" t="s">
        <v>16</v>
      </c>
      <c r="E15" s="3">
        <v>165.8</v>
      </c>
      <c r="F15" s="3">
        <f t="shared" si="0"/>
        <v>33386</v>
      </c>
    </row>
    <row r="16" spans="1:6" ht="25.5">
      <c r="A16" s="1" t="s">
        <v>32</v>
      </c>
      <c r="B16" s="2" t="s">
        <v>33</v>
      </c>
      <c r="C16" s="10">
        <f>'[10]Park at harmu'!G55</f>
        <v>201.363073110285</v>
      </c>
      <c r="D16" s="4" t="s">
        <v>16</v>
      </c>
      <c r="E16" s="3">
        <v>109.07</v>
      </c>
      <c r="F16" s="3">
        <f t="shared" si="0"/>
        <v>21962.67</v>
      </c>
    </row>
    <row r="17" spans="1:6" ht="21.75" customHeight="1">
      <c r="A17" s="4">
        <v>8</v>
      </c>
      <c r="B17" s="2" t="s">
        <v>34</v>
      </c>
      <c r="C17" s="3"/>
      <c r="D17" s="4"/>
      <c r="E17" s="3"/>
      <c r="F17" s="3"/>
    </row>
    <row r="18" spans="1:6">
      <c r="A18" s="11" t="s">
        <v>35</v>
      </c>
      <c r="B18" s="2" t="s">
        <v>36</v>
      </c>
      <c r="C18" s="3">
        <f>[10]Sheet1!G10</f>
        <v>25.128609514811728</v>
      </c>
      <c r="D18" s="4" t="s">
        <v>11</v>
      </c>
      <c r="E18" s="3">
        <v>819.3</v>
      </c>
      <c r="F18" s="3">
        <f t="shared" si="0"/>
        <v>20587.87</v>
      </c>
    </row>
    <row r="19" spans="1:6">
      <c r="A19" s="12" t="s">
        <v>37</v>
      </c>
      <c r="B19" s="2" t="s">
        <v>38</v>
      </c>
      <c r="C19" s="3">
        <f>[10]Sheet1!F10</f>
        <v>2.8895507843442476</v>
      </c>
      <c r="D19" s="4" t="s">
        <v>11</v>
      </c>
      <c r="E19" s="3">
        <v>417.3</v>
      </c>
      <c r="F19" s="3">
        <f t="shared" si="0"/>
        <v>1205.81</v>
      </c>
    </row>
    <row r="20" spans="1:6">
      <c r="A20" s="13" t="s">
        <v>39</v>
      </c>
      <c r="B20" s="2" t="s">
        <v>40</v>
      </c>
      <c r="C20" s="3">
        <f>[10]Sheet1!H10</f>
        <v>14.98072511855011</v>
      </c>
      <c r="D20" s="4" t="s">
        <v>11</v>
      </c>
      <c r="E20" s="3">
        <v>417.3</v>
      </c>
      <c r="F20" s="3">
        <f t="shared" si="0"/>
        <v>6251.46</v>
      </c>
    </row>
    <row r="21" spans="1:6">
      <c r="A21" s="13" t="s">
        <v>41</v>
      </c>
      <c r="B21" s="2" t="s">
        <v>42</v>
      </c>
      <c r="C21" s="3">
        <f>[10]Sheet1!J10</f>
        <v>20.883795837462838</v>
      </c>
      <c r="D21" s="4" t="s">
        <v>11</v>
      </c>
      <c r="E21" s="3">
        <v>117.54</v>
      </c>
      <c r="F21" s="3">
        <f t="shared" si="0"/>
        <v>2454.6799999999998</v>
      </c>
    </row>
    <row r="22" spans="1:6">
      <c r="A22" s="14" t="s">
        <v>43</v>
      </c>
      <c r="B22" s="2" t="s">
        <v>44</v>
      </c>
      <c r="C22" s="3">
        <f>[10]Sheet1!I10/1000</f>
        <v>18.509829090607724</v>
      </c>
      <c r="D22" s="15" t="s">
        <v>45</v>
      </c>
      <c r="E22" s="3">
        <v>755.2</v>
      </c>
      <c r="F22" s="3">
        <f t="shared" si="0"/>
        <v>13978.62</v>
      </c>
    </row>
    <row r="23" spans="1:6" ht="24" customHeight="1">
      <c r="A23" s="4"/>
      <c r="B23" s="16"/>
      <c r="C23" s="272" t="s">
        <v>46</v>
      </c>
      <c r="D23" s="272"/>
      <c r="E23" s="272"/>
      <c r="F23" s="17">
        <f>SUM(F6:F22)</f>
        <v>579067.79</v>
      </c>
    </row>
    <row r="24" spans="1:6" ht="24" customHeight="1">
      <c r="A24" s="18"/>
      <c r="B24" s="19"/>
      <c r="C24" s="273" t="s">
        <v>47</v>
      </c>
      <c r="D24" s="274"/>
      <c r="E24" s="275"/>
      <c r="F24" s="17">
        <f>F23*18%</f>
        <v>104232.2022</v>
      </c>
    </row>
    <row r="25" spans="1:6" ht="24" customHeight="1">
      <c r="A25" s="18"/>
      <c r="B25" s="19"/>
      <c r="C25" s="273" t="s">
        <v>46</v>
      </c>
      <c r="D25" s="274"/>
      <c r="E25" s="275"/>
      <c r="F25" s="17">
        <f>SUM(F23:F24)</f>
        <v>683299.99219999998</v>
      </c>
    </row>
    <row r="26" spans="1:6" ht="24" customHeight="1">
      <c r="A26" s="18"/>
      <c r="B26" s="19"/>
      <c r="C26" s="273" t="s">
        <v>48</v>
      </c>
      <c r="D26" s="274"/>
      <c r="E26" s="275"/>
      <c r="F26" s="17">
        <f>F25*1%</f>
        <v>6832.999922</v>
      </c>
    </row>
    <row r="27" spans="1:6" ht="24" customHeight="1">
      <c r="A27" s="18"/>
      <c r="B27" s="19"/>
      <c r="C27" s="273" t="s">
        <v>46</v>
      </c>
      <c r="D27" s="274"/>
      <c r="E27" s="275"/>
      <c r="F27" s="17">
        <f>SUM(F25:F26)</f>
        <v>690132.99212199997</v>
      </c>
    </row>
  </sheetData>
  <mergeCells count="14">
    <mergeCell ref="A1:F1"/>
    <mergeCell ref="A2:F2"/>
    <mergeCell ref="A3:F3"/>
    <mergeCell ref="A4:A5"/>
    <mergeCell ref="B4:B5"/>
    <mergeCell ref="C4:C5"/>
    <mergeCell ref="D4:D5"/>
    <mergeCell ref="E4:E5"/>
    <mergeCell ref="F4:F5"/>
    <mergeCell ref="C23:E23"/>
    <mergeCell ref="C24:E24"/>
    <mergeCell ref="C25:E25"/>
    <mergeCell ref="C26:E26"/>
    <mergeCell ref="C27:E27"/>
  </mergeCells>
  <pageMargins left="0.36" right="0.26" top="0.19" bottom="0.75" header="0.3" footer="0.3"/>
  <pageSetup paperSize="9" scale="90" orientation="portrait" r:id="rId1"/>
</worksheet>
</file>

<file path=xl/worksheets/sheet17.xml><?xml version="1.0" encoding="utf-8"?>
<worksheet xmlns="http://schemas.openxmlformats.org/spreadsheetml/2006/main" xmlns:r="http://schemas.openxmlformats.org/officeDocument/2006/relationships">
  <dimension ref="A1:F26"/>
  <sheetViews>
    <sheetView workbookViewId="0">
      <selection activeCell="A3" sqref="A3:F3"/>
    </sheetView>
  </sheetViews>
  <sheetFormatPr defaultRowHeight="15"/>
  <cols>
    <col min="1" max="1" width="7.85546875" customWidth="1"/>
    <col min="2" max="2" width="53.42578125" customWidth="1"/>
    <col min="3" max="3" width="13" customWidth="1"/>
    <col min="4" max="4" width="6.42578125" customWidth="1"/>
    <col min="5" max="5" width="12" bestFit="1" customWidth="1"/>
    <col min="6" max="6" width="18.5703125" bestFit="1" customWidth="1"/>
  </cols>
  <sheetData>
    <row r="1" spans="1:6" ht="22.5">
      <c r="A1" s="20"/>
      <c r="B1" s="288" t="s">
        <v>49</v>
      </c>
      <c r="C1" s="289"/>
      <c r="D1" s="289"/>
      <c r="E1" s="289"/>
      <c r="F1" s="289"/>
    </row>
    <row r="2" spans="1:6" ht="22.5" customHeight="1">
      <c r="A2" s="290" t="s">
        <v>1</v>
      </c>
      <c r="B2" s="290"/>
      <c r="C2" s="290"/>
      <c r="D2" s="290"/>
      <c r="E2" s="290"/>
      <c r="F2" s="290"/>
    </row>
    <row r="3" spans="1:6" ht="30.75" customHeight="1">
      <c r="A3" s="291" t="s">
        <v>50</v>
      </c>
      <c r="B3" s="291"/>
      <c r="C3" s="291"/>
      <c r="D3" s="291"/>
      <c r="E3" s="291"/>
      <c r="F3" s="291"/>
    </row>
    <row r="4" spans="1:6" ht="31.5">
      <c r="A4" s="21" t="s">
        <v>51</v>
      </c>
      <c r="B4" s="22" t="s">
        <v>52</v>
      </c>
      <c r="C4" s="22" t="s">
        <v>53</v>
      </c>
      <c r="D4" s="22" t="s">
        <v>54</v>
      </c>
      <c r="E4" s="22" t="s">
        <v>55</v>
      </c>
      <c r="F4" s="22" t="s">
        <v>56</v>
      </c>
    </row>
    <row r="5" spans="1:6" ht="135">
      <c r="A5" s="23" t="s">
        <v>57</v>
      </c>
      <c r="B5" s="24" t="s">
        <v>58</v>
      </c>
      <c r="C5" s="25">
        <f>[11]Sheet1!G8</f>
        <v>63.73</v>
      </c>
      <c r="D5" s="26" t="s">
        <v>11</v>
      </c>
      <c r="E5" s="27">
        <v>167.33</v>
      </c>
      <c r="F5" s="25">
        <f t="shared" ref="F5:F11" si="0">ROUND(C5*E5,0)</f>
        <v>10664</v>
      </c>
    </row>
    <row r="6" spans="1:6" ht="63.75">
      <c r="A6" s="12" t="s">
        <v>12</v>
      </c>
      <c r="B6" s="28" t="s">
        <v>59</v>
      </c>
      <c r="C6" s="29">
        <f>[11]Sheet1!G12</f>
        <v>5.3199999999999994</v>
      </c>
      <c r="D6" s="29" t="s">
        <v>11</v>
      </c>
      <c r="E6" s="30">
        <v>347.85</v>
      </c>
      <c r="F6" s="31">
        <f t="shared" si="0"/>
        <v>1851</v>
      </c>
    </row>
    <row r="7" spans="1:6" ht="75">
      <c r="A7" s="23" t="s">
        <v>60</v>
      </c>
      <c r="B7" s="32" t="s">
        <v>61</v>
      </c>
      <c r="C7" s="29">
        <f>[11]Sheet1!G16</f>
        <v>8.86</v>
      </c>
      <c r="D7" s="29" t="s">
        <v>11</v>
      </c>
      <c r="E7" s="33">
        <v>1756.4</v>
      </c>
      <c r="F7" s="31">
        <f t="shared" si="0"/>
        <v>15562</v>
      </c>
    </row>
    <row r="8" spans="1:6" ht="30">
      <c r="A8" s="23" t="s">
        <v>62</v>
      </c>
      <c r="B8" s="32" t="s">
        <v>63</v>
      </c>
      <c r="C8" s="29">
        <f>[11]Sheet1!G21</f>
        <v>21.6</v>
      </c>
      <c r="D8" s="29" t="s">
        <v>11</v>
      </c>
      <c r="E8" s="30">
        <v>5989.72</v>
      </c>
      <c r="F8" s="31">
        <f t="shared" si="0"/>
        <v>129378</v>
      </c>
    </row>
    <row r="9" spans="1:6" ht="90">
      <c r="A9" s="23" t="s">
        <v>64</v>
      </c>
      <c r="B9" s="34" t="s">
        <v>65</v>
      </c>
      <c r="C9" s="31">
        <f>[11]Sheet1!G25</f>
        <v>10.629999999999999</v>
      </c>
      <c r="D9" s="29" t="s">
        <v>11</v>
      </c>
      <c r="E9" s="33">
        <v>6308.87</v>
      </c>
      <c r="F9" s="31">
        <f t="shared" si="0"/>
        <v>67063</v>
      </c>
    </row>
    <row r="10" spans="1:6" ht="105">
      <c r="A10" s="23" t="s">
        <v>66</v>
      </c>
      <c r="B10" s="32" t="s">
        <v>67</v>
      </c>
      <c r="C10" s="35">
        <f>[11]Sheet1!G30</f>
        <v>1</v>
      </c>
      <c r="D10" s="29" t="s">
        <v>68</v>
      </c>
      <c r="E10" s="29">
        <v>83314.02</v>
      </c>
      <c r="F10" s="31">
        <f t="shared" si="0"/>
        <v>83314</v>
      </c>
    </row>
    <row r="11" spans="1:6" ht="105">
      <c r="A11" s="23"/>
      <c r="B11" s="32" t="s">
        <v>67</v>
      </c>
      <c r="C11" s="36">
        <f>[11]Sheet1!G32</f>
        <v>1.85</v>
      </c>
      <c r="D11" s="29" t="s">
        <v>68</v>
      </c>
      <c r="E11" s="30">
        <v>82096.539999999994</v>
      </c>
      <c r="F11" s="31">
        <f t="shared" si="0"/>
        <v>151879</v>
      </c>
    </row>
    <row r="12" spans="1:6" ht="57">
      <c r="A12" s="23" t="s">
        <v>69</v>
      </c>
      <c r="B12" s="28" t="s">
        <v>70</v>
      </c>
      <c r="C12" s="37">
        <f>[11]Sheet1!G38</f>
        <v>134.76</v>
      </c>
      <c r="D12" s="38" t="s">
        <v>71</v>
      </c>
      <c r="E12" s="39">
        <v>194.5</v>
      </c>
      <c r="F12" s="33">
        <f t="shared" ref="F12" si="1">ROUND(E12*C12,0)</f>
        <v>26211</v>
      </c>
    </row>
    <row r="13" spans="1:6">
      <c r="A13" s="23">
        <v>7</v>
      </c>
      <c r="B13" s="40" t="s">
        <v>72</v>
      </c>
      <c r="C13" s="41"/>
      <c r="D13" s="41"/>
      <c r="E13" s="36"/>
      <c r="F13" s="36"/>
    </row>
    <row r="14" spans="1:6">
      <c r="A14" s="42" t="s">
        <v>35</v>
      </c>
      <c r="B14" s="43" t="s">
        <v>36</v>
      </c>
      <c r="C14" s="35">
        <f>[11]Sheet2!F10</f>
        <v>13.87</v>
      </c>
      <c r="D14" s="36" t="s">
        <v>11</v>
      </c>
      <c r="E14" s="44">
        <v>819.06</v>
      </c>
      <c r="F14" s="31">
        <f>ROUND(C14*E14,0)</f>
        <v>11360</v>
      </c>
    </row>
    <row r="15" spans="1:6">
      <c r="A15" s="23" t="s">
        <v>37</v>
      </c>
      <c r="B15" s="43" t="s">
        <v>73</v>
      </c>
      <c r="C15" s="35">
        <f>[11]Sheet2!E10</f>
        <v>5.3199999999999994</v>
      </c>
      <c r="D15" s="36" t="s">
        <v>11</v>
      </c>
      <c r="E15" s="45">
        <v>417.3</v>
      </c>
      <c r="F15" s="31">
        <f>ROUND(C15*E15,0)</f>
        <v>2220</v>
      </c>
    </row>
    <row r="16" spans="1:6">
      <c r="A16" s="23" t="s">
        <v>74</v>
      </c>
      <c r="B16" s="43" t="s">
        <v>75</v>
      </c>
      <c r="C16" s="35">
        <f>[11]Sheet2!G10</f>
        <v>27.74</v>
      </c>
      <c r="D16" s="36" t="s">
        <v>11</v>
      </c>
      <c r="E16" s="45">
        <v>648.59</v>
      </c>
      <c r="F16" s="31">
        <f>ROUNDUP(C16*E16,0)</f>
        <v>17992</v>
      </c>
    </row>
    <row r="17" spans="1:6">
      <c r="A17" s="23" t="s">
        <v>39</v>
      </c>
      <c r="B17" s="43" t="s">
        <v>40</v>
      </c>
      <c r="C17" s="35">
        <f>[11]Sheet2!H10</f>
        <v>8.86</v>
      </c>
      <c r="D17" s="46" t="s">
        <v>76</v>
      </c>
      <c r="E17" s="45">
        <v>417.3</v>
      </c>
      <c r="F17" s="31">
        <f t="shared" ref="F17" si="2">PRODUCT(C17,E17)</f>
        <v>3697.2779999999998</v>
      </c>
    </row>
    <row r="18" spans="1:6">
      <c r="A18" s="23" t="s">
        <v>41</v>
      </c>
      <c r="B18" s="43" t="s">
        <v>42</v>
      </c>
      <c r="C18" s="35">
        <f>[11]Sheet2!I10</f>
        <v>63.73</v>
      </c>
      <c r="D18" s="36" t="s">
        <v>11</v>
      </c>
      <c r="E18" s="44">
        <v>117.54</v>
      </c>
      <c r="F18" s="31">
        <f>ROUNDUP(C18*E18,0)</f>
        <v>7491</v>
      </c>
    </row>
    <row r="19" spans="1:6" ht="15.75">
      <c r="A19" s="47"/>
      <c r="B19" s="47"/>
      <c r="C19" s="47"/>
      <c r="D19" s="47"/>
      <c r="E19" s="47" t="s">
        <v>77</v>
      </c>
      <c r="F19" s="48">
        <f>SUM(F5:F18)</f>
        <v>528682.27799999993</v>
      </c>
    </row>
    <row r="20" spans="1:6" ht="15.75">
      <c r="A20" s="49"/>
      <c r="B20" s="49"/>
      <c r="C20" s="49"/>
      <c r="D20" s="292" t="s">
        <v>78</v>
      </c>
      <c r="E20" s="293"/>
      <c r="F20" s="48">
        <f>F19*18%</f>
        <v>95162.810039999982</v>
      </c>
    </row>
    <row r="21" spans="1:6" ht="15.75">
      <c r="A21" s="49"/>
      <c r="B21" s="49"/>
      <c r="C21" s="49"/>
      <c r="D21" s="292" t="s">
        <v>77</v>
      </c>
      <c r="E21" s="293"/>
      <c r="F21" s="48">
        <f>SUM(F19:F20)</f>
        <v>623845.08803999994</v>
      </c>
    </row>
    <row r="22" spans="1:6" ht="19.5" customHeight="1">
      <c r="A22" s="50"/>
      <c r="B22" s="50"/>
      <c r="C22" s="50"/>
      <c r="D22" s="287" t="s">
        <v>79</v>
      </c>
      <c r="E22" s="287"/>
      <c r="F22" s="51">
        <f>F21*0.01</f>
        <v>6238.4508803999997</v>
      </c>
    </row>
    <row r="23" spans="1:6" ht="21.75" customHeight="1">
      <c r="A23" s="52"/>
      <c r="B23" s="52"/>
      <c r="C23" s="52"/>
      <c r="D23" s="53"/>
      <c r="E23" s="54" t="s">
        <v>77</v>
      </c>
      <c r="F23" s="51">
        <f>SUM(F21:F22)</f>
        <v>630083.53892039997</v>
      </c>
    </row>
    <row r="26" spans="1:6" ht="36" customHeight="1"/>
  </sheetData>
  <mergeCells count="6">
    <mergeCell ref="D22:E22"/>
    <mergeCell ref="B1:F1"/>
    <mergeCell ref="A2:F2"/>
    <mergeCell ref="A3:F3"/>
    <mergeCell ref="D20:E20"/>
    <mergeCell ref="D21:E21"/>
  </mergeCells>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K25"/>
  <sheetViews>
    <sheetView workbookViewId="0">
      <selection activeCell="B3" sqref="B3:F3"/>
    </sheetView>
  </sheetViews>
  <sheetFormatPr defaultRowHeight="15"/>
  <cols>
    <col min="1" max="1" width="6.140625" customWidth="1"/>
    <col min="2" max="2" width="48.140625" customWidth="1"/>
    <col min="3" max="3" width="12.5703125" bestFit="1" customWidth="1"/>
    <col min="4" max="4" width="5.28515625" customWidth="1"/>
    <col min="5" max="5" width="12" bestFit="1" customWidth="1"/>
    <col min="6" max="6" width="12.42578125" customWidth="1"/>
  </cols>
  <sheetData>
    <row r="1" spans="1:11" ht="22.5">
      <c r="A1" s="20"/>
      <c r="B1" s="248" t="s">
        <v>49</v>
      </c>
      <c r="C1" s="248"/>
      <c r="D1" s="248"/>
      <c r="E1" s="248"/>
      <c r="F1" s="248"/>
    </row>
    <row r="2" spans="1:11" ht="22.5">
      <c r="A2" s="20"/>
      <c r="B2" s="294" t="s">
        <v>1</v>
      </c>
      <c r="C2" s="294"/>
      <c r="D2" s="294"/>
      <c r="E2" s="294"/>
      <c r="F2" s="294"/>
    </row>
    <row r="3" spans="1:11" ht="29.25" customHeight="1">
      <c r="A3" s="20"/>
      <c r="B3" s="257" t="s">
        <v>80</v>
      </c>
      <c r="C3" s="257"/>
      <c r="D3" s="257"/>
      <c r="E3" s="257"/>
      <c r="F3" s="257"/>
    </row>
    <row r="4" spans="1:11" ht="32.25" customHeight="1">
      <c r="A4" s="6" t="s">
        <v>51</v>
      </c>
      <c r="B4" s="6" t="s">
        <v>81</v>
      </c>
      <c r="C4" s="6" t="s">
        <v>53</v>
      </c>
      <c r="D4" s="6" t="s">
        <v>54</v>
      </c>
      <c r="E4" s="6" t="s">
        <v>55</v>
      </c>
      <c r="F4" s="6" t="s">
        <v>56</v>
      </c>
      <c r="K4">
        <f>150*3.28</f>
        <v>491.99999999999994</v>
      </c>
    </row>
    <row r="5" spans="1:11" ht="112.5" customHeight="1">
      <c r="A5" s="55" t="s">
        <v>57</v>
      </c>
      <c r="B5" s="56" t="s">
        <v>58</v>
      </c>
      <c r="C5" s="57">
        <f>[12]Sheet1!G7</f>
        <v>59.473237043330499</v>
      </c>
      <c r="D5" s="58" t="s">
        <v>11</v>
      </c>
      <c r="E5" s="58">
        <v>167.33</v>
      </c>
      <c r="F5" s="57">
        <f>ROUND(C5*E5,0)</f>
        <v>9952</v>
      </c>
    </row>
    <row r="6" spans="1:11" ht="89.25">
      <c r="A6" s="12" t="s">
        <v>12</v>
      </c>
      <c r="B6" s="59" t="s">
        <v>13</v>
      </c>
      <c r="C6" s="60">
        <f>[12]Sheet1!G11</f>
        <v>3.9699999999999998</v>
      </c>
      <c r="D6" s="6" t="s">
        <v>11</v>
      </c>
      <c r="E6" s="6">
        <v>347.85</v>
      </c>
      <c r="F6" s="57">
        <f t="shared" ref="F6:F8" si="0">ROUND(C6*E6,0)</f>
        <v>1381</v>
      </c>
    </row>
    <row r="7" spans="1:11" ht="63.75">
      <c r="A7" s="12" t="s">
        <v>82</v>
      </c>
      <c r="B7" s="13" t="s">
        <v>61</v>
      </c>
      <c r="C7" s="60">
        <f>[12]Sheet1!G15</f>
        <v>6.6099999999999994</v>
      </c>
      <c r="D7" s="6" t="s">
        <v>11</v>
      </c>
      <c r="E7" s="60">
        <v>1756.4</v>
      </c>
      <c r="F7" s="57">
        <f t="shared" si="0"/>
        <v>11610</v>
      </c>
    </row>
    <row r="8" spans="1:11" ht="38.25">
      <c r="A8" s="12" t="s">
        <v>83</v>
      </c>
      <c r="B8" s="61" t="s">
        <v>84</v>
      </c>
      <c r="C8" s="60">
        <f>[12]Sheet1!G20</f>
        <v>5.4799999999999995</v>
      </c>
      <c r="D8" s="6" t="s">
        <v>11</v>
      </c>
      <c r="E8" s="60">
        <v>4598.2299999999996</v>
      </c>
      <c r="F8" s="57">
        <f t="shared" si="0"/>
        <v>25198</v>
      </c>
    </row>
    <row r="9" spans="1:11" ht="37.5" customHeight="1">
      <c r="A9" s="62" t="s">
        <v>85</v>
      </c>
      <c r="B9" s="61" t="s">
        <v>86</v>
      </c>
      <c r="C9" s="63">
        <f>[12]Sheet1!G24</f>
        <v>13.593882752761257</v>
      </c>
      <c r="D9" s="64" t="s">
        <v>11</v>
      </c>
      <c r="E9" s="65">
        <v>2987.47</v>
      </c>
      <c r="F9" s="66">
        <f>E9*C9</f>
        <v>40611.316907391665</v>
      </c>
    </row>
    <row r="10" spans="1:11" ht="63.75">
      <c r="A10" s="67" t="s">
        <v>87</v>
      </c>
      <c r="B10" s="68" t="s">
        <v>88</v>
      </c>
      <c r="C10" s="60">
        <f>[12]Sheet1!G28</f>
        <v>90.458488227509292</v>
      </c>
      <c r="D10" s="64" t="s">
        <v>89</v>
      </c>
      <c r="E10" s="69">
        <v>313.3</v>
      </c>
      <c r="F10" s="70">
        <f>ROUND(E10*C10,0)</f>
        <v>28341</v>
      </c>
    </row>
    <row r="11" spans="1:11" ht="102">
      <c r="A11" s="12" t="s">
        <v>90</v>
      </c>
      <c r="B11" s="68" t="s">
        <v>91</v>
      </c>
      <c r="C11" s="60">
        <f>[12]Sheet1!G32</f>
        <v>5.29</v>
      </c>
      <c r="D11" s="64" t="s">
        <v>11</v>
      </c>
      <c r="E11" s="71">
        <v>6308.87</v>
      </c>
      <c r="F11" s="70">
        <f t="shared" ref="F11:F13" si="1">ROUND(E11*C11,0)</f>
        <v>33374</v>
      </c>
    </row>
    <row r="12" spans="1:11" ht="63.75">
      <c r="A12" s="12" t="s">
        <v>92</v>
      </c>
      <c r="B12" s="68" t="s">
        <v>93</v>
      </c>
      <c r="C12" s="60">
        <f>[12]Sheet1!G36</f>
        <v>0.46700000000000003</v>
      </c>
      <c r="D12" s="64" t="s">
        <v>68</v>
      </c>
      <c r="E12" s="72">
        <v>82096.539999999994</v>
      </c>
      <c r="F12" s="70">
        <f t="shared" si="1"/>
        <v>38339</v>
      </c>
    </row>
    <row r="13" spans="1:11" ht="51">
      <c r="A13" s="12" t="s">
        <v>94</v>
      </c>
      <c r="B13" s="73" t="s">
        <v>95</v>
      </c>
      <c r="C13" s="74">
        <f>[12]Sheet1!G41</f>
        <v>32.22</v>
      </c>
      <c r="D13" s="75" t="s">
        <v>71</v>
      </c>
      <c r="E13" s="76">
        <v>194.5</v>
      </c>
      <c r="F13" s="70">
        <f t="shared" si="1"/>
        <v>6267</v>
      </c>
    </row>
    <row r="14" spans="1:11">
      <c r="A14" s="12">
        <v>11</v>
      </c>
      <c r="B14" s="77" t="s">
        <v>72</v>
      </c>
      <c r="C14" s="72"/>
      <c r="D14" s="72"/>
      <c r="E14" s="72"/>
      <c r="F14" s="70"/>
    </row>
    <row r="15" spans="1:11" ht="15.75">
      <c r="A15" s="11" t="s">
        <v>35</v>
      </c>
      <c r="B15" s="13" t="s">
        <v>36</v>
      </c>
      <c r="C15" s="64">
        <f>[12]Sheet2!F11</f>
        <v>12.91</v>
      </c>
      <c r="D15" s="78" t="s">
        <v>96</v>
      </c>
      <c r="E15" s="79">
        <v>819.06</v>
      </c>
      <c r="F15" s="70">
        <f t="shared" ref="F15:F20" si="2">ROUND(E15*C15,0)</f>
        <v>10574</v>
      </c>
    </row>
    <row r="16" spans="1:11" ht="15.75">
      <c r="A16" s="12" t="s">
        <v>37</v>
      </c>
      <c r="B16" s="13" t="s">
        <v>38</v>
      </c>
      <c r="C16" s="64">
        <f>[12]Sheet2!E11</f>
        <v>3.9699999999999998</v>
      </c>
      <c r="D16" s="78" t="s">
        <v>96</v>
      </c>
      <c r="E16" s="80">
        <v>417.3</v>
      </c>
      <c r="F16" s="70">
        <f t="shared" si="2"/>
        <v>1657</v>
      </c>
    </row>
    <row r="17" spans="1:6" ht="15.75">
      <c r="A17" s="12" t="s">
        <v>74</v>
      </c>
      <c r="B17" s="13" t="s">
        <v>97</v>
      </c>
      <c r="C17" s="81">
        <f>[12]Sheet2!H11</f>
        <v>20.203882752761256</v>
      </c>
      <c r="D17" s="78" t="s">
        <v>96</v>
      </c>
      <c r="E17" s="80">
        <v>648.59</v>
      </c>
      <c r="F17" s="70">
        <f t="shared" si="2"/>
        <v>13104</v>
      </c>
    </row>
    <row r="18" spans="1:6" ht="15.75">
      <c r="A18" s="12" t="s">
        <v>39</v>
      </c>
      <c r="B18" s="13" t="s">
        <v>40</v>
      </c>
      <c r="C18" s="64">
        <f>[12]Sheet2!G11</f>
        <v>9.5</v>
      </c>
      <c r="D18" s="78" t="s">
        <v>96</v>
      </c>
      <c r="E18" s="80">
        <v>417.3</v>
      </c>
      <c r="F18" s="70">
        <f t="shared" si="2"/>
        <v>3964</v>
      </c>
    </row>
    <row r="19" spans="1:6" ht="15.75">
      <c r="A19" s="12" t="s">
        <v>41</v>
      </c>
      <c r="B19" s="13" t="s">
        <v>42</v>
      </c>
      <c r="C19" s="69">
        <f>[12]Sheet2!I11</f>
        <v>59.473237043330499</v>
      </c>
      <c r="D19" s="78" t="s">
        <v>96</v>
      </c>
      <c r="E19" s="79">
        <v>117.54</v>
      </c>
      <c r="F19" s="70">
        <f t="shared" si="2"/>
        <v>6990</v>
      </c>
    </row>
    <row r="20" spans="1:6">
      <c r="A20" s="12">
        <v>12</v>
      </c>
      <c r="B20" s="13" t="s">
        <v>98</v>
      </c>
      <c r="C20" s="69">
        <v>3</v>
      </c>
      <c r="D20" s="78" t="s">
        <v>99</v>
      </c>
      <c r="E20" s="80">
        <v>2000</v>
      </c>
      <c r="F20" s="70">
        <f t="shared" si="2"/>
        <v>6000</v>
      </c>
    </row>
    <row r="21" spans="1:6">
      <c r="A21" s="82"/>
      <c r="B21" s="82"/>
      <c r="C21" s="82"/>
      <c r="D21" s="82"/>
      <c r="E21" s="83" t="s">
        <v>77</v>
      </c>
      <c r="F21" s="84">
        <f>SUM(F5:F20)</f>
        <v>237362.31690739165</v>
      </c>
    </row>
    <row r="22" spans="1:6">
      <c r="A22" s="269" t="s">
        <v>100</v>
      </c>
      <c r="B22" s="270"/>
      <c r="C22" s="270"/>
      <c r="D22" s="270"/>
      <c r="E22" s="271"/>
      <c r="F22" s="84">
        <f>F21*18%</f>
        <v>42725.217043330493</v>
      </c>
    </row>
    <row r="23" spans="1:6">
      <c r="A23" s="253" t="s">
        <v>101</v>
      </c>
      <c r="B23" s="254"/>
      <c r="C23" s="254"/>
      <c r="D23" s="254"/>
      <c r="E23" s="255"/>
      <c r="F23" s="84">
        <f>SUM(F21:F22)</f>
        <v>280087.53395072214</v>
      </c>
    </row>
    <row r="24" spans="1:6">
      <c r="A24" s="269" t="s">
        <v>102</v>
      </c>
      <c r="B24" s="270"/>
      <c r="C24" s="270"/>
      <c r="D24" s="270"/>
      <c r="E24" s="271"/>
      <c r="F24" s="85">
        <f>F23*1%</f>
        <v>2800.8753395072213</v>
      </c>
    </row>
    <row r="25" spans="1:6">
      <c r="A25" s="253" t="s">
        <v>101</v>
      </c>
      <c r="B25" s="254"/>
      <c r="C25" s="254"/>
      <c r="D25" s="254"/>
      <c r="E25" s="255"/>
      <c r="F25" s="57">
        <f>SUM(F23:F24)</f>
        <v>282888.40929022938</v>
      </c>
    </row>
  </sheetData>
  <mergeCells count="7">
    <mergeCell ref="A25:E25"/>
    <mergeCell ref="B1:F1"/>
    <mergeCell ref="B2:F2"/>
    <mergeCell ref="B3:F3"/>
    <mergeCell ref="A22:E22"/>
    <mergeCell ref="A23:E23"/>
    <mergeCell ref="A24:E24"/>
  </mergeCells>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G18"/>
  <sheetViews>
    <sheetView workbookViewId="0">
      <selection activeCell="A3" sqref="A3:F3"/>
    </sheetView>
  </sheetViews>
  <sheetFormatPr defaultRowHeight="63.75" customHeight="1"/>
  <cols>
    <col min="1" max="1" width="8.140625" style="87" customWidth="1"/>
    <col min="2" max="2" width="54.7109375" style="87" customWidth="1"/>
    <col min="3" max="3" width="9.7109375" style="87" bestFit="1" customWidth="1"/>
    <col min="4" max="4" width="5.28515625" style="87" customWidth="1"/>
    <col min="5" max="5" width="12" style="87" bestFit="1" customWidth="1"/>
    <col min="6" max="6" width="13.140625" style="87" customWidth="1"/>
    <col min="7" max="16384" width="9.140625" style="87"/>
  </cols>
  <sheetData>
    <row r="1" spans="1:7" ht="22.5" customHeight="1">
      <c r="A1" s="86"/>
      <c r="B1" s="252" t="s">
        <v>49</v>
      </c>
      <c r="C1" s="252"/>
      <c r="D1" s="252"/>
      <c r="E1" s="252"/>
      <c r="F1" s="252"/>
      <c r="G1" s="86"/>
    </row>
    <row r="2" spans="1:7" ht="22.5" customHeight="1">
      <c r="A2" s="295" t="s">
        <v>1</v>
      </c>
      <c r="B2" s="295"/>
      <c r="C2" s="295"/>
      <c r="D2" s="295"/>
      <c r="E2" s="295"/>
      <c r="F2" s="295"/>
      <c r="G2" s="86"/>
    </row>
    <row r="3" spans="1:7" ht="32.25" customHeight="1">
      <c r="A3" s="296" t="s">
        <v>103</v>
      </c>
      <c r="B3" s="296"/>
      <c r="C3" s="296"/>
      <c r="D3" s="296"/>
      <c r="E3" s="296"/>
      <c r="F3" s="297"/>
      <c r="G3" s="88"/>
    </row>
    <row r="4" spans="1:7" ht="30" customHeight="1">
      <c r="A4" s="12" t="s">
        <v>51</v>
      </c>
      <c r="B4" s="12" t="s">
        <v>52</v>
      </c>
      <c r="C4" s="12" t="s">
        <v>53</v>
      </c>
      <c r="D4" s="12" t="s">
        <v>54</v>
      </c>
      <c r="E4" s="12" t="s">
        <v>55</v>
      </c>
      <c r="F4" s="89" t="s">
        <v>56</v>
      </c>
      <c r="G4" s="86"/>
    </row>
    <row r="5" spans="1:7" ht="102">
      <c r="A5" s="90" t="s">
        <v>104</v>
      </c>
      <c r="B5" s="73" t="s">
        <v>105</v>
      </c>
      <c r="C5" s="91">
        <f>[13]Sheet1!G7</f>
        <v>41.73</v>
      </c>
      <c r="D5" s="89" t="s">
        <v>11</v>
      </c>
      <c r="E5" s="89">
        <v>151.82</v>
      </c>
      <c r="F5" s="74">
        <f>ROUND(C5*E5,2)</f>
        <v>6335.45</v>
      </c>
      <c r="G5" s="86"/>
    </row>
    <row r="6" spans="1:7" ht="89.25">
      <c r="A6" s="90" t="s">
        <v>106</v>
      </c>
      <c r="B6" s="73" t="s">
        <v>107</v>
      </c>
      <c r="C6" s="74">
        <f>[13]Sheet1!G12</f>
        <v>1.2</v>
      </c>
      <c r="D6" s="89" t="s">
        <v>11</v>
      </c>
      <c r="E6" s="60">
        <v>4598.2299999999996</v>
      </c>
      <c r="F6" s="74">
        <f t="shared" ref="F6:F11" si="0">ROUND(C6*E6,2)</f>
        <v>5517.88</v>
      </c>
      <c r="G6" s="86"/>
    </row>
    <row r="7" spans="1:7" ht="216.75">
      <c r="A7" s="90" t="s">
        <v>108</v>
      </c>
      <c r="B7" s="13" t="s">
        <v>109</v>
      </c>
      <c r="C7" s="89">
        <f>[13]Sheet1!G15</f>
        <v>205.39</v>
      </c>
      <c r="D7" s="89" t="s">
        <v>89</v>
      </c>
      <c r="E7" s="74">
        <v>872.77</v>
      </c>
      <c r="F7" s="74">
        <f t="shared" si="0"/>
        <v>179258.23</v>
      </c>
      <c r="G7" s="86"/>
    </row>
    <row r="8" spans="1:7" ht="15.75">
      <c r="A8" s="92">
        <v>4</v>
      </c>
      <c r="B8" s="93" t="s">
        <v>34</v>
      </c>
      <c r="C8" s="94"/>
      <c r="D8" s="95"/>
      <c r="E8" s="94"/>
      <c r="F8" s="74"/>
      <c r="G8" s="86"/>
    </row>
    <row r="9" spans="1:7" ht="16.5">
      <c r="A9" s="90" t="s">
        <v>35</v>
      </c>
      <c r="B9" s="13" t="s">
        <v>36</v>
      </c>
      <c r="C9" s="96">
        <f>[13]Sheet2!E5</f>
        <v>0.52</v>
      </c>
      <c r="D9" s="97" t="s">
        <v>96</v>
      </c>
      <c r="E9" s="98">
        <v>819.06</v>
      </c>
      <c r="F9" s="74">
        <f t="shared" si="0"/>
        <v>425.91</v>
      </c>
      <c r="G9" s="86"/>
    </row>
    <row r="10" spans="1:7" ht="16.5">
      <c r="A10" s="90" t="s">
        <v>37</v>
      </c>
      <c r="B10" s="13" t="s">
        <v>40</v>
      </c>
      <c r="C10" s="96">
        <f>[13]Sheet2!F5</f>
        <v>1.04</v>
      </c>
      <c r="D10" s="97" t="s">
        <v>96</v>
      </c>
      <c r="E10" s="98">
        <v>417.3</v>
      </c>
      <c r="F10" s="74">
        <f t="shared" si="0"/>
        <v>433.99</v>
      </c>
      <c r="G10" s="86"/>
    </row>
    <row r="11" spans="1:7" ht="16.5">
      <c r="A11" s="90" t="s">
        <v>74</v>
      </c>
      <c r="B11" s="13" t="s">
        <v>42</v>
      </c>
      <c r="C11" s="96">
        <f>[13]Sheet2!G5</f>
        <v>41.73</v>
      </c>
      <c r="D11" s="97" t="s">
        <v>96</v>
      </c>
      <c r="E11" s="98">
        <v>117.54</v>
      </c>
      <c r="F11" s="74">
        <f t="shared" si="0"/>
        <v>4904.9399999999996</v>
      </c>
    </row>
    <row r="12" spans="1:7" ht="15">
      <c r="A12" s="90"/>
      <c r="B12" s="245" t="s">
        <v>77</v>
      </c>
      <c r="C12" s="246"/>
      <c r="D12" s="246"/>
      <c r="E12" s="247"/>
      <c r="F12" s="99">
        <f>SUM(F5:F11)</f>
        <v>196876.4</v>
      </c>
    </row>
    <row r="13" spans="1:7" ht="15">
      <c r="A13" s="90"/>
      <c r="B13" s="242" t="s">
        <v>110</v>
      </c>
      <c r="C13" s="243"/>
      <c r="D13" s="243"/>
      <c r="E13" s="244"/>
      <c r="F13" s="99">
        <f>F12*18%</f>
        <v>35437.752</v>
      </c>
    </row>
    <row r="14" spans="1:7" ht="15">
      <c r="A14" s="90"/>
      <c r="B14" s="245" t="s">
        <v>111</v>
      </c>
      <c r="C14" s="246"/>
      <c r="D14" s="246"/>
      <c r="E14" s="247"/>
      <c r="F14" s="99">
        <f>SUM(F12:F13)</f>
        <v>232314.152</v>
      </c>
    </row>
    <row r="15" spans="1:7" ht="15">
      <c r="A15" s="90"/>
      <c r="B15" s="242" t="s">
        <v>112</v>
      </c>
      <c r="C15" s="243"/>
      <c r="D15" s="243"/>
      <c r="E15" s="244"/>
      <c r="F15" s="99">
        <f>ROUND(F14*1/100,0)</f>
        <v>2323</v>
      </c>
    </row>
    <row r="16" spans="1:7" ht="15">
      <c r="A16" s="90"/>
      <c r="B16" s="100"/>
      <c r="C16" s="101"/>
      <c r="D16" s="101" t="s">
        <v>113</v>
      </c>
      <c r="E16" s="102"/>
      <c r="F16" s="99">
        <f>SUM(F14:F15)</f>
        <v>234637.152</v>
      </c>
    </row>
    <row r="17" spans="1:6" ht="12.75"/>
    <row r="18" spans="1:6" ht="26.25">
      <c r="A18" s="251"/>
      <c r="B18" s="251"/>
      <c r="C18" s="251"/>
      <c r="D18" s="251"/>
      <c r="E18" s="251"/>
      <c r="F18" s="251"/>
    </row>
  </sheetData>
  <mergeCells count="8">
    <mergeCell ref="B15:E15"/>
    <mergeCell ref="A18:F18"/>
    <mergeCell ref="B1:F1"/>
    <mergeCell ref="A2:F2"/>
    <mergeCell ref="A3:F3"/>
    <mergeCell ref="B12:E12"/>
    <mergeCell ref="B13:E13"/>
    <mergeCell ref="B14:E14"/>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F48"/>
  <sheetViews>
    <sheetView workbookViewId="0">
      <selection activeCell="F21" sqref="F21"/>
    </sheetView>
  </sheetViews>
  <sheetFormatPr defaultRowHeight="15"/>
  <cols>
    <col min="1" max="1" width="7.7109375" customWidth="1"/>
    <col min="2" max="2" width="50.42578125" customWidth="1"/>
    <col min="3" max="3" width="8.5703125" customWidth="1"/>
    <col min="4" max="4" width="5.140625" bestFit="1" customWidth="1"/>
    <col min="5" max="5" width="10.28515625" customWidth="1"/>
    <col min="6" max="6" width="18.85546875" customWidth="1"/>
  </cols>
  <sheetData>
    <row r="1" spans="1:6" ht="34.5" customHeight="1">
      <c r="A1" s="228" t="s">
        <v>231</v>
      </c>
      <c r="B1" s="228"/>
      <c r="C1" s="228"/>
      <c r="D1" s="228"/>
      <c r="E1" s="228"/>
      <c r="F1" s="228"/>
    </row>
    <row r="2" spans="1:6" ht="18.75" customHeight="1">
      <c r="A2" s="229" t="s">
        <v>1</v>
      </c>
      <c r="B2" s="230"/>
      <c r="C2" s="230"/>
      <c r="D2" s="230"/>
      <c r="E2" s="230"/>
      <c r="F2" s="231"/>
    </row>
    <row r="3" spans="1:6" ht="38.25" customHeight="1">
      <c r="A3" s="232" t="s">
        <v>256</v>
      </c>
      <c r="B3" s="232"/>
      <c r="C3" s="232"/>
      <c r="D3" s="232"/>
      <c r="E3" s="232"/>
      <c r="F3" s="232"/>
    </row>
    <row r="4" spans="1:6" ht="21" customHeight="1">
      <c r="A4" s="152" t="s">
        <v>233</v>
      </c>
      <c r="B4" s="153" t="s">
        <v>234</v>
      </c>
      <c r="C4" s="153" t="s">
        <v>235</v>
      </c>
      <c r="D4" s="153" t="s">
        <v>54</v>
      </c>
      <c r="E4" s="152" t="s">
        <v>236</v>
      </c>
      <c r="F4" s="152" t="s">
        <v>237</v>
      </c>
    </row>
    <row r="5" spans="1:6" s="87" customFormat="1" ht="96.75" customHeight="1">
      <c r="A5" s="154" t="s">
        <v>238</v>
      </c>
      <c r="B5" s="155" t="s">
        <v>239</v>
      </c>
      <c r="C5" s="156">
        <v>74.34</v>
      </c>
      <c r="D5" s="157" t="s">
        <v>76</v>
      </c>
      <c r="E5" s="158">
        <v>151.82</v>
      </c>
      <c r="F5" s="159">
        <v>11286.53</v>
      </c>
    </row>
    <row r="6" spans="1:6" ht="98.25" customHeight="1">
      <c r="A6" s="186" t="s">
        <v>257</v>
      </c>
      <c r="B6" s="187" t="s">
        <v>258</v>
      </c>
      <c r="C6" s="162">
        <v>24.78</v>
      </c>
      <c r="D6" s="157" t="s">
        <v>76</v>
      </c>
      <c r="E6" s="188">
        <v>347.85</v>
      </c>
      <c r="F6" s="159">
        <f t="shared" ref="F6:F15" si="0">SUM((C6*E6),H6)</f>
        <v>8619.7230000000018</v>
      </c>
    </row>
    <row r="7" spans="1:6" s="163" customFormat="1" ht="77.25" customHeight="1">
      <c r="A7" s="160" t="s">
        <v>242</v>
      </c>
      <c r="B7" s="161" t="s">
        <v>243</v>
      </c>
      <c r="C7" s="162">
        <v>40.64</v>
      </c>
      <c r="D7" s="157" t="s">
        <v>76</v>
      </c>
      <c r="E7" s="162">
        <v>1756.4</v>
      </c>
      <c r="F7" s="159">
        <f t="shared" si="0"/>
        <v>71380.096000000005</v>
      </c>
    </row>
    <row r="8" spans="1:6" s="163" customFormat="1" ht="74.25" customHeight="1">
      <c r="A8" s="164" t="s">
        <v>244</v>
      </c>
      <c r="B8" s="165" t="s">
        <v>245</v>
      </c>
      <c r="C8" s="162">
        <v>49.56</v>
      </c>
      <c r="D8" s="157" t="s">
        <v>76</v>
      </c>
      <c r="E8" s="162">
        <v>4961.7299999999996</v>
      </c>
      <c r="F8" s="159">
        <f t="shared" si="0"/>
        <v>245903.3388</v>
      </c>
    </row>
    <row r="9" spans="1:6" s="163" customFormat="1" ht="71.25" customHeight="1">
      <c r="A9" s="160" t="s">
        <v>246</v>
      </c>
      <c r="B9" s="161" t="s">
        <v>247</v>
      </c>
      <c r="C9" s="166">
        <v>32.53</v>
      </c>
      <c r="D9" s="167" t="s">
        <v>248</v>
      </c>
      <c r="E9" s="168">
        <v>194.5</v>
      </c>
      <c r="F9" s="159">
        <f t="shared" si="0"/>
        <v>6327.085</v>
      </c>
    </row>
    <row r="10" spans="1:6" s="163" customFormat="1" ht="36.75" customHeight="1">
      <c r="A10" s="169">
        <v>6</v>
      </c>
      <c r="B10" s="170" t="s">
        <v>185</v>
      </c>
      <c r="C10" s="171">
        <v>0</v>
      </c>
      <c r="D10" s="171"/>
      <c r="E10" s="171">
        <v>0</v>
      </c>
      <c r="F10" s="159">
        <f t="shared" si="0"/>
        <v>0</v>
      </c>
    </row>
    <row r="11" spans="1:6" s="163" customFormat="1" ht="31.5" customHeight="1">
      <c r="A11" s="172" t="s">
        <v>35</v>
      </c>
      <c r="B11" s="173" t="s">
        <v>249</v>
      </c>
      <c r="C11" s="162">
        <v>21.31</v>
      </c>
      <c r="D11" s="162" t="s">
        <v>76</v>
      </c>
      <c r="E11" s="168">
        <f>'[1]RCC DRAIN'!I37</f>
        <v>848.82</v>
      </c>
      <c r="F11" s="159">
        <f t="shared" si="0"/>
        <v>18088.354200000002</v>
      </c>
    </row>
    <row r="12" spans="1:6" s="163" customFormat="1" ht="30" customHeight="1">
      <c r="A12" s="172" t="s">
        <v>37</v>
      </c>
      <c r="B12" s="173" t="s">
        <v>259</v>
      </c>
      <c r="C12" s="162">
        <v>24.78</v>
      </c>
      <c r="D12" s="162" t="s">
        <v>76</v>
      </c>
      <c r="E12" s="168">
        <v>447.06</v>
      </c>
      <c r="F12" s="159">
        <f t="shared" si="0"/>
        <v>11078.1468</v>
      </c>
    </row>
    <row r="13" spans="1:6" s="163" customFormat="1" ht="27.75" customHeight="1">
      <c r="A13" s="172" t="s">
        <v>74</v>
      </c>
      <c r="B13" s="174" t="s">
        <v>251</v>
      </c>
      <c r="C13" s="162">
        <v>42.62</v>
      </c>
      <c r="D13" s="162" t="s">
        <v>76</v>
      </c>
      <c r="E13" s="168">
        <f>'[1]RCC DRAIN'!I39</f>
        <v>447.06</v>
      </c>
      <c r="F13" s="159">
        <f t="shared" si="0"/>
        <v>19053.697199999999</v>
      </c>
    </row>
    <row r="14" spans="1:6" s="163" customFormat="1" ht="30" customHeight="1">
      <c r="A14" s="172" t="s">
        <v>39</v>
      </c>
      <c r="B14" s="174" t="s">
        <v>252</v>
      </c>
      <c r="C14" s="162">
        <v>40.64</v>
      </c>
      <c r="D14" s="162" t="s">
        <v>76</v>
      </c>
      <c r="E14" s="168">
        <f>'[1]RCC DRAIN'!I40</f>
        <v>679.66</v>
      </c>
      <c r="F14" s="159">
        <f t="shared" si="0"/>
        <v>27621.382399999999</v>
      </c>
    </row>
    <row r="15" spans="1:6" s="163" customFormat="1" ht="29.25" customHeight="1">
      <c r="A15" s="172" t="s">
        <v>41</v>
      </c>
      <c r="B15" s="174" t="s">
        <v>253</v>
      </c>
      <c r="C15" s="162">
        <v>74.34</v>
      </c>
      <c r="D15" s="162" t="s">
        <v>76</v>
      </c>
      <c r="E15" s="168">
        <f>'[1]RCC DRAIN'!I41</f>
        <v>117.54</v>
      </c>
      <c r="F15" s="159">
        <f t="shared" si="0"/>
        <v>8737.9236000000001</v>
      </c>
    </row>
    <row r="16" spans="1:6" s="163" customFormat="1" ht="28.5" customHeight="1">
      <c r="A16" s="175"/>
      <c r="B16" s="176"/>
      <c r="C16" s="177"/>
      <c r="D16" s="178"/>
      <c r="E16" s="178" t="s">
        <v>121</v>
      </c>
      <c r="F16" s="179">
        <f>SUM(F5:F15)</f>
        <v>428096.277</v>
      </c>
    </row>
    <row r="17" spans="1:6" s="163" customFormat="1">
      <c r="A17" s="180"/>
      <c r="B17" s="181"/>
      <c r="C17" s="178"/>
      <c r="D17" s="177"/>
      <c r="E17" s="178" t="s">
        <v>254</v>
      </c>
      <c r="F17" s="179">
        <f>F16*18/100</f>
        <v>77057.329859999998</v>
      </c>
    </row>
    <row r="18" spans="1:6" s="163" customFormat="1">
      <c r="A18" s="180"/>
      <c r="B18" s="181"/>
      <c r="C18" s="178"/>
      <c r="D18" s="178"/>
      <c r="E18" s="178"/>
      <c r="F18" s="179">
        <f>F16+F17</f>
        <v>505153.60686</v>
      </c>
    </row>
    <row r="19" spans="1:6" s="163" customFormat="1">
      <c r="A19" s="180"/>
      <c r="B19" s="181"/>
      <c r="C19" s="182"/>
      <c r="D19" s="178"/>
      <c r="E19" s="178" t="s">
        <v>255</v>
      </c>
      <c r="F19" s="179">
        <f>F18*1/100</f>
        <v>5051.5360686000004</v>
      </c>
    </row>
    <row r="20" spans="1:6" s="163" customFormat="1">
      <c r="A20" s="180"/>
      <c r="B20" s="181"/>
      <c r="C20" s="182"/>
      <c r="D20" s="178"/>
      <c r="E20" s="178" t="s">
        <v>121</v>
      </c>
      <c r="F20" s="183">
        <f>F18+F19</f>
        <v>510205.14292860002</v>
      </c>
    </row>
    <row r="21" spans="1:6" s="163" customFormat="1">
      <c r="C21" s="184"/>
      <c r="D21" s="184"/>
      <c r="E21" s="184"/>
      <c r="F21" s="184"/>
    </row>
    <row r="22" spans="1:6" s="163" customFormat="1">
      <c r="C22" s="184"/>
      <c r="D22" s="184"/>
      <c r="E22" s="184"/>
      <c r="F22" s="184"/>
    </row>
    <row r="23" spans="1:6" s="163" customFormat="1">
      <c r="C23" s="184"/>
      <c r="D23" s="184"/>
      <c r="E23" s="184"/>
      <c r="F23" s="184"/>
    </row>
    <row r="24" spans="1:6" s="163" customFormat="1">
      <c r="C24" s="184"/>
      <c r="D24" s="184"/>
      <c r="E24" s="184"/>
      <c r="F24" s="184"/>
    </row>
    <row r="25" spans="1:6" s="163" customFormat="1">
      <c r="C25" s="184"/>
      <c r="D25" s="184"/>
      <c r="E25" s="184"/>
      <c r="F25" s="184"/>
    </row>
    <row r="26" spans="1:6" s="163" customFormat="1">
      <c r="C26" s="184"/>
      <c r="D26" s="184"/>
      <c r="E26" s="184"/>
      <c r="F26" s="184"/>
    </row>
    <row r="27" spans="1:6" s="163" customFormat="1">
      <c r="C27" s="184"/>
      <c r="D27" s="184"/>
      <c r="E27" s="184"/>
      <c r="F27" s="184"/>
    </row>
    <row r="28" spans="1:6" s="163" customFormat="1">
      <c r="C28" s="184"/>
      <c r="D28" s="184"/>
      <c r="E28" s="184"/>
      <c r="F28" s="184"/>
    </row>
    <row r="29" spans="1:6" s="163" customFormat="1">
      <c r="C29" s="184"/>
      <c r="D29" s="184"/>
      <c r="E29" s="184"/>
      <c r="F29" s="184"/>
    </row>
    <row r="30" spans="1:6" s="163" customFormat="1">
      <c r="C30" s="184"/>
      <c r="D30" s="184"/>
      <c r="E30" s="184"/>
      <c r="F30" s="184"/>
    </row>
    <row r="31" spans="1:6" s="163" customFormat="1">
      <c r="C31" s="184"/>
      <c r="D31" s="184"/>
      <c r="E31" s="184"/>
      <c r="F31" s="184"/>
    </row>
    <row r="32" spans="1:6" s="163" customFormat="1">
      <c r="C32" s="184"/>
      <c r="D32" s="184"/>
      <c r="E32" s="184"/>
      <c r="F32" s="184"/>
    </row>
    <row r="33" spans="1:6" s="163" customFormat="1">
      <c r="C33" s="184"/>
      <c r="D33" s="184"/>
      <c r="E33" s="184"/>
      <c r="F33" s="184"/>
    </row>
    <row r="34" spans="1:6" s="163" customFormat="1">
      <c r="C34" s="184"/>
      <c r="D34" s="184"/>
      <c r="E34" s="184"/>
      <c r="F34" s="184"/>
    </row>
    <row r="35" spans="1:6" s="163" customFormat="1">
      <c r="C35" s="184"/>
      <c r="D35" s="184"/>
      <c r="E35" s="184"/>
      <c r="F35" s="184"/>
    </row>
    <row r="36" spans="1:6" s="163" customFormat="1">
      <c r="C36" s="184"/>
      <c r="D36" s="184"/>
      <c r="E36" s="184"/>
      <c r="F36" s="184"/>
    </row>
    <row r="37" spans="1:6" s="163" customFormat="1">
      <c r="C37" s="184"/>
      <c r="D37" s="184"/>
      <c r="E37" s="184"/>
      <c r="F37" s="184"/>
    </row>
    <row r="38" spans="1:6" s="163" customFormat="1">
      <c r="A38"/>
      <c r="B38"/>
      <c r="C38" s="185"/>
      <c r="D38" s="185"/>
      <c r="E38" s="185"/>
      <c r="F38" s="185"/>
    </row>
    <row r="39" spans="1:6">
      <c r="C39" s="185"/>
      <c r="D39" s="185"/>
      <c r="E39" s="185"/>
      <c r="F39" s="185"/>
    </row>
    <row r="40" spans="1:6">
      <c r="C40" s="185"/>
      <c r="D40" s="185"/>
      <c r="E40" s="185"/>
      <c r="F40" s="185"/>
    </row>
    <row r="41" spans="1:6">
      <c r="C41" s="185"/>
      <c r="D41" s="185"/>
      <c r="E41" s="185"/>
      <c r="F41" s="185"/>
    </row>
    <row r="42" spans="1:6">
      <c r="C42" s="185"/>
      <c r="D42" s="185"/>
      <c r="E42" s="185"/>
      <c r="F42" s="185"/>
    </row>
    <row r="43" spans="1:6">
      <c r="C43" s="185"/>
      <c r="D43" s="185"/>
      <c r="E43" s="185"/>
      <c r="F43" s="185"/>
    </row>
    <row r="44" spans="1:6">
      <c r="C44" s="185"/>
      <c r="D44" s="185"/>
      <c r="E44" s="185"/>
      <c r="F44" s="185"/>
    </row>
    <row r="45" spans="1:6">
      <c r="C45" s="185"/>
      <c r="D45" s="185"/>
      <c r="E45" s="185"/>
      <c r="F45" s="185"/>
    </row>
    <row r="46" spans="1:6">
      <c r="C46" s="185"/>
      <c r="D46" s="185"/>
      <c r="E46" s="185"/>
      <c r="F46" s="185"/>
    </row>
    <row r="47" spans="1:6">
      <c r="C47" s="185"/>
      <c r="D47" s="185"/>
      <c r="E47" s="185"/>
      <c r="F47" s="185"/>
    </row>
    <row r="48" spans="1:6">
      <c r="C48" s="185"/>
      <c r="D48" s="185"/>
      <c r="E48" s="185"/>
      <c r="F48" s="185"/>
    </row>
  </sheetData>
  <mergeCells count="3">
    <mergeCell ref="A1:F1"/>
    <mergeCell ref="A2:F2"/>
    <mergeCell ref="A3:F3"/>
  </mergeCells>
  <pageMargins left="0.7" right="0.7" top="0.75" bottom="0.75" header="0.3" footer="0.3"/>
</worksheet>
</file>

<file path=xl/worksheets/sheet20.xml><?xml version="1.0" encoding="utf-8"?>
<worksheet xmlns="http://schemas.openxmlformats.org/spreadsheetml/2006/main" xmlns:r="http://schemas.openxmlformats.org/officeDocument/2006/relationships">
  <dimension ref="A1:F10"/>
  <sheetViews>
    <sheetView workbookViewId="0">
      <selection activeCell="A3" sqref="A3:F3"/>
    </sheetView>
  </sheetViews>
  <sheetFormatPr defaultColWidth="16.28515625" defaultRowHeight="15"/>
  <cols>
    <col min="1" max="1" width="10" style="103" customWidth="1"/>
    <col min="2" max="2" width="32.7109375" style="103" customWidth="1"/>
    <col min="3" max="3" width="14.42578125" style="103" customWidth="1"/>
    <col min="4" max="4" width="14.140625" style="103" customWidth="1"/>
    <col min="5" max="16384" width="16.28515625" style="103"/>
  </cols>
  <sheetData>
    <row r="1" spans="1:6" ht="18.75">
      <c r="A1" s="240" t="s">
        <v>49</v>
      </c>
      <c r="B1" s="240"/>
      <c r="C1" s="240"/>
      <c r="D1" s="240"/>
      <c r="E1" s="240"/>
      <c r="F1" s="240"/>
    </row>
    <row r="2" spans="1:6" ht="18.75">
      <c r="A2" s="240" t="s">
        <v>114</v>
      </c>
      <c r="B2" s="240"/>
      <c r="C2" s="240"/>
      <c r="D2" s="240"/>
      <c r="E2" s="240"/>
      <c r="F2" s="240"/>
    </row>
    <row r="3" spans="1:6" ht="36.75" customHeight="1">
      <c r="A3" s="298" t="s">
        <v>115</v>
      </c>
      <c r="B3" s="298"/>
      <c r="C3" s="298"/>
      <c r="D3" s="298"/>
      <c r="E3" s="298"/>
      <c r="F3" s="298"/>
    </row>
    <row r="4" spans="1:6">
      <c r="A4" s="104" t="s">
        <v>116</v>
      </c>
      <c r="B4" s="104" t="s">
        <v>117</v>
      </c>
      <c r="C4" s="104" t="s">
        <v>118</v>
      </c>
      <c r="D4" s="104" t="s">
        <v>54</v>
      </c>
      <c r="E4" s="104" t="s">
        <v>55</v>
      </c>
      <c r="F4" s="104" t="s">
        <v>56</v>
      </c>
    </row>
    <row r="5" spans="1:6" ht="49.5" customHeight="1">
      <c r="A5" s="44">
        <v>1</v>
      </c>
      <c r="B5" s="105" t="s">
        <v>119</v>
      </c>
      <c r="C5" s="44">
        <v>15</v>
      </c>
      <c r="D5" s="44" t="s">
        <v>120</v>
      </c>
      <c r="E5" s="44">
        <v>9500</v>
      </c>
      <c r="F5" s="44">
        <f>C5*E5</f>
        <v>142500</v>
      </c>
    </row>
    <row r="6" spans="1:6" ht="24" customHeight="1">
      <c r="A6" s="106"/>
      <c r="B6" s="299" t="s">
        <v>121</v>
      </c>
      <c r="C6" s="299"/>
      <c r="D6" s="299"/>
      <c r="E6" s="299"/>
      <c r="F6" s="44">
        <v>142500</v>
      </c>
    </row>
    <row r="7" spans="1:6" s="108" customFormat="1" ht="18.75" customHeight="1">
      <c r="A7" s="107"/>
      <c r="B7" s="107"/>
      <c r="C7" s="107"/>
      <c r="D7" s="107"/>
      <c r="E7" s="107" t="s">
        <v>122</v>
      </c>
      <c r="F7" s="107">
        <f>F6*18/100</f>
        <v>25650</v>
      </c>
    </row>
    <row r="8" spans="1:6" s="108" customFormat="1" ht="18.75" customHeight="1">
      <c r="A8" s="107"/>
      <c r="B8" s="107"/>
      <c r="C8" s="107"/>
      <c r="D8" s="107"/>
      <c r="E8" s="107"/>
      <c r="F8" s="107">
        <f>F7+F6</f>
        <v>168150</v>
      </c>
    </row>
    <row r="9" spans="1:6" s="108" customFormat="1" ht="18.75" customHeight="1">
      <c r="A9" s="107"/>
      <c r="B9" s="107"/>
      <c r="C9" s="107"/>
      <c r="D9" s="107"/>
      <c r="E9" s="107" t="s">
        <v>123</v>
      </c>
      <c r="F9" s="107">
        <f>F8*1/100</f>
        <v>1681.5</v>
      </c>
    </row>
    <row r="10" spans="1:6" s="108" customFormat="1" ht="18.75" customHeight="1">
      <c r="A10" s="107"/>
      <c r="B10" s="107"/>
      <c r="C10" s="107"/>
      <c r="D10" s="107"/>
      <c r="E10" s="107" t="s">
        <v>121</v>
      </c>
      <c r="F10" s="107">
        <f>F9+F8</f>
        <v>169831.5</v>
      </c>
    </row>
  </sheetData>
  <mergeCells count="4">
    <mergeCell ref="A1:F1"/>
    <mergeCell ref="A2:F2"/>
    <mergeCell ref="A3:F3"/>
    <mergeCell ref="B6:E6"/>
  </mergeCells>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J25"/>
  <sheetViews>
    <sheetView workbookViewId="0">
      <selection activeCell="A3" sqref="A3:F3"/>
    </sheetView>
  </sheetViews>
  <sheetFormatPr defaultRowHeight="15"/>
  <cols>
    <col min="1" max="1" width="9.140625" style="140"/>
    <col min="2" max="2" width="42.85546875" style="141" customWidth="1"/>
    <col min="3" max="3" width="9.140625" style="108"/>
    <col min="4" max="4" width="9.140625" style="142"/>
    <col min="5" max="5" width="9.140625" style="108"/>
    <col min="6" max="6" width="16.42578125" style="143" customWidth="1"/>
    <col min="7" max="7" width="0" style="108" hidden="1" customWidth="1"/>
    <col min="8" max="16384" width="9.140625" style="108"/>
  </cols>
  <sheetData>
    <row r="1" spans="1:10" ht="18.75">
      <c r="A1" s="240" t="s">
        <v>49</v>
      </c>
      <c r="B1" s="240"/>
      <c r="C1" s="240"/>
      <c r="D1" s="240"/>
      <c r="E1" s="240"/>
      <c r="F1" s="240"/>
    </row>
    <row r="2" spans="1:10" ht="18.75">
      <c r="A2" s="240" t="s">
        <v>114</v>
      </c>
      <c r="B2" s="240"/>
      <c r="C2" s="240"/>
      <c r="D2" s="240"/>
      <c r="E2" s="240"/>
      <c r="F2" s="240"/>
    </row>
    <row r="3" spans="1:10" ht="55.5" customHeight="1">
      <c r="A3" s="241" t="s">
        <v>218</v>
      </c>
      <c r="B3" s="241"/>
      <c r="C3" s="241"/>
      <c r="D3" s="241"/>
      <c r="E3" s="241"/>
      <c r="F3" s="241"/>
    </row>
    <row r="4" spans="1:10">
      <c r="A4" s="30" t="s">
        <v>51</v>
      </c>
      <c r="B4" s="30" t="s">
        <v>52</v>
      </c>
      <c r="C4" s="30" t="s">
        <v>53</v>
      </c>
      <c r="D4" s="30" t="s">
        <v>54</v>
      </c>
      <c r="E4" s="30" t="s">
        <v>55</v>
      </c>
      <c r="F4" s="30" t="s">
        <v>56</v>
      </c>
    </row>
    <row r="5" spans="1:10" ht="120">
      <c r="A5" s="107" t="s">
        <v>213</v>
      </c>
      <c r="B5" s="107" t="s">
        <v>200</v>
      </c>
      <c r="C5" s="107">
        <v>16.829999999999998</v>
      </c>
      <c r="D5" s="107" t="s">
        <v>11</v>
      </c>
      <c r="E5" s="107">
        <v>167.33</v>
      </c>
      <c r="F5" s="107">
        <f>ROUND(E5*C5,2)</f>
        <v>2816.16</v>
      </c>
      <c r="J5" s="108" t="s">
        <v>201</v>
      </c>
    </row>
    <row r="6" spans="1:10" ht="105">
      <c r="A6" s="107" t="s">
        <v>202</v>
      </c>
      <c r="B6" s="107" t="s">
        <v>203</v>
      </c>
      <c r="C6" s="107">
        <v>1.33</v>
      </c>
      <c r="D6" s="107" t="s">
        <v>11</v>
      </c>
      <c r="E6" s="107">
        <v>589.51</v>
      </c>
      <c r="F6" s="107">
        <f t="shared" ref="F6:F20" si="0">ROUND(E6*C6,2)</f>
        <v>784.05</v>
      </c>
    </row>
    <row r="7" spans="1:10" ht="90">
      <c r="A7" s="107" t="s">
        <v>204</v>
      </c>
      <c r="B7" s="107" t="s">
        <v>61</v>
      </c>
      <c r="C7" s="107">
        <v>2.21</v>
      </c>
      <c r="D7" s="107" t="s">
        <v>11</v>
      </c>
      <c r="E7" s="107">
        <v>1756.4</v>
      </c>
      <c r="F7" s="107">
        <f t="shared" si="0"/>
        <v>3881.64</v>
      </c>
    </row>
    <row r="8" spans="1:10" ht="45">
      <c r="A8" s="107" t="s">
        <v>214</v>
      </c>
      <c r="B8" s="107" t="s">
        <v>84</v>
      </c>
      <c r="C8" s="107">
        <v>1.87</v>
      </c>
      <c r="D8" s="107" t="s">
        <v>138</v>
      </c>
      <c r="E8" s="107">
        <v>4598.2299999999996</v>
      </c>
      <c r="F8" s="107">
        <f t="shared" ref="F8" si="1">ROUND(C8*E8,2)</f>
        <v>8598.69</v>
      </c>
    </row>
    <row r="9" spans="1:10" ht="120">
      <c r="A9" s="107" t="s">
        <v>205</v>
      </c>
      <c r="B9" s="107" t="s">
        <v>206</v>
      </c>
      <c r="C9" s="107">
        <v>4.78</v>
      </c>
      <c r="D9" s="107" t="s">
        <v>11</v>
      </c>
      <c r="E9" s="107">
        <v>2987.47</v>
      </c>
      <c r="F9" s="107">
        <f t="shared" si="0"/>
        <v>14280.11</v>
      </c>
    </row>
    <row r="10" spans="1:10" ht="90">
      <c r="A10" s="107" t="s">
        <v>207</v>
      </c>
      <c r="B10" s="107" t="s">
        <v>88</v>
      </c>
      <c r="C10" s="107">
        <v>33.67</v>
      </c>
      <c r="D10" s="107" t="s">
        <v>89</v>
      </c>
      <c r="E10" s="107">
        <v>309.16000000000003</v>
      </c>
      <c r="F10" s="107">
        <f t="shared" si="0"/>
        <v>10409.42</v>
      </c>
    </row>
    <row r="11" spans="1:10" ht="120">
      <c r="A11" s="107" t="s">
        <v>215</v>
      </c>
      <c r="B11" s="107" t="s">
        <v>65</v>
      </c>
      <c r="C11" s="107">
        <v>2.66</v>
      </c>
      <c r="D11" s="107" t="s">
        <v>11</v>
      </c>
      <c r="E11" s="107">
        <v>6308.87</v>
      </c>
      <c r="F11" s="107">
        <f t="shared" ref="F11:F14" si="2">C11*E11</f>
        <v>16781.5942</v>
      </c>
      <c r="G11" s="108">
        <v>137114.37</v>
      </c>
    </row>
    <row r="12" spans="1:10" ht="60">
      <c r="A12" s="107" t="s">
        <v>216</v>
      </c>
      <c r="B12" s="107" t="s">
        <v>184</v>
      </c>
      <c r="C12" s="107">
        <v>13.94</v>
      </c>
      <c r="D12" s="107" t="s">
        <v>89</v>
      </c>
      <c r="E12" s="107">
        <v>194.5</v>
      </c>
      <c r="F12" s="107">
        <f t="shared" si="2"/>
        <v>2711.33</v>
      </c>
    </row>
    <row r="13" spans="1:10" ht="135">
      <c r="A13" s="107" t="s">
        <v>217</v>
      </c>
      <c r="B13" s="107" t="s">
        <v>180</v>
      </c>
      <c r="C13" s="144">
        <v>0.10299999999999999</v>
      </c>
      <c r="D13" s="107" t="s">
        <v>181</v>
      </c>
      <c r="E13" s="107">
        <v>83314.02</v>
      </c>
      <c r="F13" s="107">
        <f t="shared" si="2"/>
        <v>8581.3440599999994</v>
      </c>
    </row>
    <row r="14" spans="1:10">
      <c r="A14" s="107"/>
      <c r="B14" s="107" t="s">
        <v>182</v>
      </c>
      <c r="C14" s="144">
        <v>0.155</v>
      </c>
      <c r="D14" s="107" t="s">
        <v>181</v>
      </c>
      <c r="E14" s="107">
        <v>82096.539999999994</v>
      </c>
      <c r="F14" s="107">
        <f t="shared" si="2"/>
        <v>12724.963699999998</v>
      </c>
    </row>
    <row r="15" spans="1:10">
      <c r="A15" s="138">
        <v>10</v>
      </c>
      <c r="B15" s="107" t="s">
        <v>72</v>
      </c>
      <c r="C15" s="107"/>
      <c r="D15" s="107"/>
      <c r="E15" s="107"/>
      <c r="F15" s="107"/>
    </row>
    <row r="16" spans="1:10">
      <c r="A16" s="107" t="s">
        <v>35</v>
      </c>
      <c r="B16" s="107" t="s">
        <v>208</v>
      </c>
      <c r="C16" s="107">
        <v>4.87</v>
      </c>
      <c r="D16" s="107" t="s">
        <v>136</v>
      </c>
      <c r="E16" s="107">
        <v>744.66</v>
      </c>
      <c r="F16" s="107">
        <f t="shared" si="0"/>
        <v>3626.49</v>
      </c>
    </row>
    <row r="17" spans="1:6">
      <c r="A17" s="107" t="s">
        <v>37</v>
      </c>
      <c r="B17" s="107" t="s">
        <v>209</v>
      </c>
      <c r="C17" s="107">
        <v>1.33</v>
      </c>
      <c r="D17" s="107" t="s">
        <v>136</v>
      </c>
      <c r="E17" s="107">
        <v>387.54</v>
      </c>
      <c r="F17" s="107">
        <f t="shared" si="0"/>
        <v>515.42999999999995</v>
      </c>
    </row>
    <row r="18" spans="1:6">
      <c r="A18" s="107" t="s">
        <v>74</v>
      </c>
      <c r="B18" s="107" t="s">
        <v>210</v>
      </c>
      <c r="C18" s="107">
        <v>6.97</v>
      </c>
      <c r="D18" s="107" t="s">
        <v>136</v>
      </c>
      <c r="E18" s="107">
        <v>570.94000000000005</v>
      </c>
      <c r="F18" s="107">
        <f t="shared" si="0"/>
        <v>3979.45</v>
      </c>
    </row>
    <row r="19" spans="1:6">
      <c r="A19" s="107" t="s">
        <v>39</v>
      </c>
      <c r="B19" s="107" t="s">
        <v>211</v>
      </c>
      <c r="C19" s="107">
        <v>3.97</v>
      </c>
      <c r="D19" s="107" t="s">
        <v>136</v>
      </c>
      <c r="E19" s="107">
        <v>342.9</v>
      </c>
      <c r="F19" s="107">
        <f t="shared" si="0"/>
        <v>1361.31</v>
      </c>
    </row>
    <row r="20" spans="1:6">
      <c r="A20" s="107" t="s">
        <v>41</v>
      </c>
      <c r="B20" s="107" t="s">
        <v>212</v>
      </c>
      <c r="C20" s="107">
        <v>16.829999999999998</v>
      </c>
      <c r="D20" s="107" t="s">
        <v>136</v>
      </c>
      <c r="E20" s="107">
        <v>117.54</v>
      </c>
      <c r="F20" s="107">
        <f t="shared" si="0"/>
        <v>1978.2</v>
      </c>
    </row>
    <row r="21" spans="1:6">
      <c r="A21" s="107"/>
      <c r="B21" s="107"/>
      <c r="C21" s="107"/>
      <c r="D21" s="107"/>
      <c r="E21" s="107" t="s">
        <v>77</v>
      </c>
      <c r="F21" s="107">
        <f>SUM(F5:F20)</f>
        <v>93030.181959999987</v>
      </c>
    </row>
    <row r="22" spans="1:6" ht="30">
      <c r="A22" s="139"/>
      <c r="B22" s="105"/>
      <c r="C22" s="44"/>
      <c r="D22" s="138"/>
      <c r="E22" s="107" t="s">
        <v>122</v>
      </c>
      <c r="F22" s="107">
        <f>F21*18/100</f>
        <v>16745.432752799996</v>
      </c>
    </row>
    <row r="23" spans="1:6">
      <c r="A23" s="139"/>
      <c r="B23" s="105"/>
      <c r="C23" s="44"/>
      <c r="D23" s="138"/>
      <c r="E23" s="107"/>
      <c r="F23" s="107">
        <f>F22+F21</f>
        <v>109775.61471279999</v>
      </c>
    </row>
    <row r="24" spans="1:6" ht="30">
      <c r="A24" s="139"/>
      <c r="B24" s="105"/>
      <c r="C24" s="44"/>
      <c r="D24" s="138"/>
      <c r="E24" s="107" t="s">
        <v>123</v>
      </c>
      <c r="F24" s="107">
        <f>F23*1/100</f>
        <v>1097.7561471279998</v>
      </c>
    </row>
    <row r="25" spans="1:6">
      <c r="A25" s="139"/>
      <c r="B25" s="105"/>
      <c r="C25" s="44"/>
      <c r="D25" s="138"/>
      <c r="E25" s="107" t="s">
        <v>191</v>
      </c>
      <c r="F25" s="107">
        <f>F24+F23</f>
        <v>110873.37085992799</v>
      </c>
    </row>
  </sheetData>
  <mergeCells count="3">
    <mergeCell ref="A1:F1"/>
    <mergeCell ref="A2:F2"/>
    <mergeCell ref="A3:F3"/>
  </mergeCells>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J25"/>
  <sheetViews>
    <sheetView workbookViewId="0">
      <selection activeCell="A3" sqref="A3:F3"/>
    </sheetView>
  </sheetViews>
  <sheetFormatPr defaultRowHeight="15"/>
  <cols>
    <col min="1" max="1" width="9.140625" style="140"/>
    <col min="2" max="2" width="42.85546875" style="141" customWidth="1"/>
    <col min="3" max="3" width="9.140625" style="108"/>
    <col min="4" max="4" width="9.140625" style="142"/>
    <col min="5" max="5" width="9.140625" style="108"/>
    <col min="6" max="6" width="16.42578125" style="143" customWidth="1"/>
    <col min="7" max="7" width="0" style="108" hidden="1" customWidth="1"/>
    <col min="8" max="16384" width="9.140625" style="108"/>
  </cols>
  <sheetData>
    <row r="1" spans="1:10" ht="18.75">
      <c r="A1" s="240" t="s">
        <v>49</v>
      </c>
      <c r="B1" s="240"/>
      <c r="C1" s="240"/>
      <c r="D1" s="240"/>
      <c r="E1" s="240"/>
      <c r="F1" s="240"/>
    </row>
    <row r="2" spans="1:10" ht="18.75">
      <c r="A2" s="240" t="s">
        <v>114</v>
      </c>
      <c r="B2" s="240"/>
      <c r="C2" s="240"/>
      <c r="D2" s="240"/>
      <c r="E2" s="240"/>
      <c r="F2" s="240"/>
    </row>
    <row r="3" spans="1:10" ht="55.5" customHeight="1">
      <c r="A3" s="241" t="s">
        <v>219</v>
      </c>
      <c r="B3" s="241"/>
      <c r="C3" s="241"/>
      <c r="D3" s="241"/>
      <c r="E3" s="241"/>
      <c r="F3" s="241"/>
    </row>
    <row r="4" spans="1:10">
      <c r="A4" s="30" t="s">
        <v>51</v>
      </c>
      <c r="B4" s="30" t="s">
        <v>52</v>
      </c>
      <c r="C4" s="30" t="s">
        <v>53</v>
      </c>
      <c r="D4" s="30" t="s">
        <v>54</v>
      </c>
      <c r="E4" s="30" t="s">
        <v>55</v>
      </c>
      <c r="F4" s="30" t="s">
        <v>56</v>
      </c>
    </row>
    <row r="5" spans="1:10" ht="120">
      <c r="A5" s="107" t="s">
        <v>213</v>
      </c>
      <c r="B5" s="107" t="s">
        <v>200</v>
      </c>
      <c r="C5" s="107">
        <v>112.22</v>
      </c>
      <c r="D5" s="107" t="s">
        <v>11</v>
      </c>
      <c r="E5" s="107">
        <v>167.33</v>
      </c>
      <c r="F5" s="107">
        <f>ROUND(E5*C5,2)</f>
        <v>18777.77</v>
      </c>
      <c r="J5" s="108" t="s">
        <v>201</v>
      </c>
    </row>
    <row r="6" spans="1:10" ht="105">
      <c r="A6" s="107" t="s">
        <v>202</v>
      </c>
      <c r="B6" s="107" t="s">
        <v>203</v>
      </c>
      <c r="C6" s="107">
        <v>8.85</v>
      </c>
      <c r="D6" s="107" t="s">
        <v>11</v>
      </c>
      <c r="E6" s="107">
        <v>589.51</v>
      </c>
      <c r="F6" s="107">
        <f t="shared" ref="F6:F20" si="0">ROUND(E6*C6,2)</f>
        <v>5217.16</v>
      </c>
    </row>
    <row r="7" spans="1:10" ht="90">
      <c r="A7" s="107" t="s">
        <v>204</v>
      </c>
      <c r="B7" s="107" t="s">
        <v>61</v>
      </c>
      <c r="C7" s="107">
        <v>14.75</v>
      </c>
      <c r="D7" s="107" t="s">
        <v>11</v>
      </c>
      <c r="E7" s="107">
        <v>1756.4</v>
      </c>
      <c r="F7" s="107">
        <f t="shared" si="0"/>
        <v>25906.9</v>
      </c>
    </row>
    <row r="8" spans="1:10" ht="45">
      <c r="A8" s="107" t="s">
        <v>214</v>
      </c>
      <c r="B8" s="107" t="s">
        <v>84</v>
      </c>
      <c r="C8" s="107">
        <v>12.46</v>
      </c>
      <c r="D8" s="107" t="s">
        <v>138</v>
      </c>
      <c r="E8" s="107">
        <v>4598.2299999999996</v>
      </c>
      <c r="F8" s="107">
        <f t="shared" ref="F8" si="1">ROUND(C8*E8,2)</f>
        <v>57293.95</v>
      </c>
    </row>
    <row r="9" spans="1:10" ht="120">
      <c r="A9" s="107" t="s">
        <v>205</v>
      </c>
      <c r="B9" s="107" t="s">
        <v>206</v>
      </c>
      <c r="C9" s="107">
        <v>31.86</v>
      </c>
      <c r="D9" s="107" t="s">
        <v>11</v>
      </c>
      <c r="E9" s="107">
        <v>2987.47</v>
      </c>
      <c r="F9" s="107">
        <f t="shared" si="0"/>
        <v>95180.79</v>
      </c>
    </row>
    <row r="10" spans="1:10" ht="90">
      <c r="A10" s="107" t="s">
        <v>207</v>
      </c>
      <c r="B10" s="107" t="s">
        <v>88</v>
      </c>
      <c r="C10" s="107">
        <v>224.44</v>
      </c>
      <c r="D10" s="107" t="s">
        <v>89</v>
      </c>
      <c r="E10" s="107">
        <v>313.3</v>
      </c>
      <c r="F10" s="107">
        <f t="shared" si="0"/>
        <v>70317.05</v>
      </c>
    </row>
    <row r="11" spans="1:10" ht="120">
      <c r="A11" s="107" t="s">
        <v>215</v>
      </c>
      <c r="B11" s="107" t="s">
        <v>65</v>
      </c>
      <c r="C11" s="107">
        <v>17.7</v>
      </c>
      <c r="D11" s="107" t="s">
        <v>11</v>
      </c>
      <c r="E11" s="107">
        <v>6308.87</v>
      </c>
      <c r="F11" s="107">
        <f t="shared" ref="F11:F14" si="2">C11*E11</f>
        <v>111666.999</v>
      </c>
      <c r="G11" s="108">
        <v>137114.37</v>
      </c>
    </row>
    <row r="12" spans="1:10" ht="60">
      <c r="A12" s="107" t="s">
        <v>216</v>
      </c>
      <c r="B12" s="107" t="s">
        <v>184</v>
      </c>
      <c r="C12" s="107">
        <v>92.94</v>
      </c>
      <c r="D12" s="107" t="s">
        <v>89</v>
      </c>
      <c r="E12" s="107">
        <v>194.5</v>
      </c>
      <c r="F12" s="107">
        <f t="shared" si="2"/>
        <v>18076.829999999998</v>
      </c>
    </row>
    <row r="13" spans="1:10" ht="135">
      <c r="A13" s="107" t="s">
        <v>217</v>
      </c>
      <c r="B13" s="107" t="s">
        <v>180</v>
      </c>
      <c r="C13" s="144">
        <v>0.68799999999999994</v>
      </c>
      <c r="D13" s="107" t="s">
        <v>181</v>
      </c>
      <c r="E13" s="107">
        <v>83314.02</v>
      </c>
      <c r="F13" s="107">
        <f t="shared" si="2"/>
        <v>57320.045760000001</v>
      </c>
    </row>
    <row r="14" spans="1:10">
      <c r="A14" s="107"/>
      <c r="B14" s="107" t="s">
        <v>182</v>
      </c>
      <c r="C14" s="144">
        <v>1.0309999999999999</v>
      </c>
      <c r="D14" s="107" t="s">
        <v>181</v>
      </c>
      <c r="E14" s="107">
        <v>82096.539999999994</v>
      </c>
      <c r="F14" s="107">
        <f t="shared" si="2"/>
        <v>84641.532739999981</v>
      </c>
    </row>
    <row r="15" spans="1:10">
      <c r="A15" s="138">
        <v>10</v>
      </c>
      <c r="B15" s="107" t="s">
        <v>72</v>
      </c>
      <c r="C15" s="107"/>
      <c r="D15" s="107"/>
      <c r="E15" s="107"/>
      <c r="F15" s="107"/>
    </row>
    <row r="16" spans="1:10">
      <c r="A16" s="107" t="s">
        <v>35</v>
      </c>
      <c r="B16" s="107" t="s">
        <v>208</v>
      </c>
      <c r="C16" s="107">
        <v>32.47</v>
      </c>
      <c r="D16" s="107" t="s">
        <v>136</v>
      </c>
      <c r="E16" s="107">
        <v>744.66</v>
      </c>
      <c r="F16" s="107">
        <f t="shared" si="0"/>
        <v>24179.11</v>
      </c>
    </row>
    <row r="17" spans="1:6">
      <c r="A17" s="107" t="s">
        <v>37</v>
      </c>
      <c r="B17" s="107" t="s">
        <v>209</v>
      </c>
      <c r="C17" s="107">
        <v>8.85</v>
      </c>
      <c r="D17" s="107" t="s">
        <v>136</v>
      </c>
      <c r="E17" s="107">
        <v>387.54</v>
      </c>
      <c r="F17" s="107">
        <f t="shared" si="0"/>
        <v>3429.73</v>
      </c>
    </row>
    <row r="18" spans="1:6">
      <c r="A18" s="107" t="s">
        <v>74</v>
      </c>
      <c r="B18" s="107" t="s">
        <v>210</v>
      </c>
      <c r="C18" s="107">
        <v>46.64</v>
      </c>
      <c r="D18" s="107" t="s">
        <v>136</v>
      </c>
      <c r="E18" s="107">
        <v>570.94000000000005</v>
      </c>
      <c r="F18" s="107">
        <f t="shared" si="0"/>
        <v>26628.639999999999</v>
      </c>
    </row>
    <row r="19" spans="1:6">
      <c r="A19" s="107" t="s">
        <v>39</v>
      </c>
      <c r="B19" s="107" t="s">
        <v>211</v>
      </c>
      <c r="C19" s="107">
        <v>26.44</v>
      </c>
      <c r="D19" s="107" t="s">
        <v>136</v>
      </c>
      <c r="E19" s="107">
        <v>342.9</v>
      </c>
      <c r="F19" s="107">
        <f t="shared" si="0"/>
        <v>9066.2800000000007</v>
      </c>
    </row>
    <row r="20" spans="1:6">
      <c r="A20" s="107" t="s">
        <v>41</v>
      </c>
      <c r="B20" s="107" t="s">
        <v>212</v>
      </c>
      <c r="C20" s="107">
        <v>112.22</v>
      </c>
      <c r="D20" s="107" t="s">
        <v>136</v>
      </c>
      <c r="E20" s="107">
        <v>117.54</v>
      </c>
      <c r="F20" s="107">
        <f t="shared" si="0"/>
        <v>13190.34</v>
      </c>
    </row>
    <row r="21" spans="1:6">
      <c r="A21" s="107"/>
      <c r="B21" s="107"/>
      <c r="C21" s="107"/>
      <c r="D21" s="107"/>
      <c r="E21" s="107" t="s">
        <v>77</v>
      </c>
      <c r="F21" s="107">
        <f>SUM(F5:F20)</f>
        <v>620893.12749999994</v>
      </c>
    </row>
    <row r="22" spans="1:6" ht="30">
      <c r="A22" s="139"/>
      <c r="B22" s="105"/>
      <c r="C22" s="44"/>
      <c r="D22" s="138"/>
      <c r="E22" s="107" t="s">
        <v>122</v>
      </c>
      <c r="F22" s="107">
        <f>F21*18/100</f>
        <v>111760.76294999997</v>
      </c>
    </row>
    <row r="23" spans="1:6">
      <c r="A23" s="139"/>
      <c r="B23" s="105"/>
      <c r="C23" s="44"/>
      <c r="D23" s="138"/>
      <c r="E23" s="107"/>
      <c r="F23" s="107">
        <f>F22+F21</f>
        <v>732653.89044999995</v>
      </c>
    </row>
    <row r="24" spans="1:6" ht="30">
      <c r="A24" s="139"/>
      <c r="B24" s="105"/>
      <c r="C24" s="44"/>
      <c r="D24" s="138"/>
      <c r="E24" s="107" t="s">
        <v>123</v>
      </c>
      <c r="F24" s="107">
        <f>F23*1/100</f>
        <v>7326.5389044999993</v>
      </c>
    </row>
    <row r="25" spans="1:6">
      <c r="A25" s="139"/>
      <c r="B25" s="105"/>
      <c r="C25" s="44"/>
      <c r="D25" s="138"/>
      <c r="E25" s="107" t="s">
        <v>191</v>
      </c>
      <c r="F25" s="107">
        <f>F24+F23</f>
        <v>739980.42935449991</v>
      </c>
    </row>
  </sheetData>
  <mergeCells count="3">
    <mergeCell ref="A1:F1"/>
    <mergeCell ref="A2:F2"/>
    <mergeCell ref="A3:F3"/>
  </mergeCells>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1:F20"/>
  <sheetViews>
    <sheetView workbookViewId="0">
      <selection activeCell="A3" sqref="A3:F3"/>
    </sheetView>
  </sheetViews>
  <sheetFormatPr defaultRowHeight="15"/>
  <cols>
    <col min="1" max="1" width="9.140625" style="140"/>
    <col min="2" max="2" width="44.5703125" style="141" customWidth="1"/>
    <col min="3" max="3" width="9.140625" style="108"/>
    <col min="4" max="4" width="9.140625" style="142"/>
    <col min="5" max="5" width="9.140625" style="108"/>
    <col min="6" max="6" width="16.42578125" style="143" customWidth="1"/>
    <col min="7" max="16384" width="9.140625" style="108"/>
  </cols>
  <sheetData>
    <row r="1" spans="1:6" ht="18.75">
      <c r="A1" s="240" t="s">
        <v>49</v>
      </c>
      <c r="B1" s="240"/>
      <c r="C1" s="240"/>
      <c r="D1" s="240"/>
      <c r="E1" s="240"/>
      <c r="F1" s="240"/>
    </row>
    <row r="2" spans="1:6" ht="18.75">
      <c r="A2" s="240" t="s">
        <v>114</v>
      </c>
      <c r="B2" s="240"/>
      <c r="C2" s="240"/>
      <c r="D2" s="240"/>
      <c r="E2" s="240"/>
      <c r="F2" s="240"/>
    </row>
    <row r="3" spans="1:6" ht="57.75" customHeight="1">
      <c r="A3" s="241" t="s">
        <v>221</v>
      </c>
      <c r="B3" s="241"/>
      <c r="C3" s="241"/>
      <c r="D3" s="241"/>
      <c r="E3" s="241"/>
      <c r="F3" s="241"/>
    </row>
    <row r="4" spans="1:6">
      <c r="A4" s="30" t="s">
        <v>51</v>
      </c>
      <c r="B4" s="30" t="s">
        <v>52</v>
      </c>
      <c r="C4" s="30" t="s">
        <v>53</v>
      </c>
      <c r="D4" s="30" t="s">
        <v>54</v>
      </c>
      <c r="E4" s="30" t="s">
        <v>55</v>
      </c>
      <c r="F4" s="30" t="s">
        <v>56</v>
      </c>
    </row>
    <row r="5" spans="1:6" ht="165">
      <c r="A5" s="107" t="s">
        <v>170</v>
      </c>
      <c r="B5" s="107" t="s">
        <v>171</v>
      </c>
      <c r="C5" s="107">
        <v>32.26</v>
      </c>
      <c r="D5" s="107" t="s">
        <v>76</v>
      </c>
      <c r="E5" s="107">
        <v>151.82</v>
      </c>
      <c r="F5" s="107">
        <f t="shared" ref="F5:F7" si="0">C5*E5</f>
        <v>4897.7131999999992</v>
      </c>
    </row>
    <row r="6" spans="1:6" ht="105">
      <c r="A6" s="138">
        <v>2</v>
      </c>
      <c r="B6" s="107" t="s">
        <v>220</v>
      </c>
      <c r="C6" s="107">
        <v>3.85</v>
      </c>
      <c r="D6" s="107" t="s">
        <v>76</v>
      </c>
      <c r="E6" s="107">
        <v>348.29</v>
      </c>
      <c r="F6" s="107">
        <f t="shared" si="0"/>
        <v>1340.9165</v>
      </c>
    </row>
    <row r="7" spans="1:6" ht="90">
      <c r="A7" s="107" t="s">
        <v>174</v>
      </c>
      <c r="B7" s="107" t="s">
        <v>175</v>
      </c>
      <c r="C7" s="107">
        <v>20.059999999999999</v>
      </c>
      <c r="D7" s="107" t="s">
        <v>76</v>
      </c>
      <c r="E7" s="107">
        <v>1756.4</v>
      </c>
      <c r="F7" s="107">
        <f t="shared" si="0"/>
        <v>35233.383999999998</v>
      </c>
    </row>
    <row r="8" spans="1:6" ht="60">
      <c r="A8" s="107" t="s">
        <v>183</v>
      </c>
      <c r="B8" s="107" t="s">
        <v>184</v>
      </c>
      <c r="C8" s="107">
        <v>15.8</v>
      </c>
      <c r="D8" s="107" t="s">
        <v>89</v>
      </c>
      <c r="E8" s="107">
        <v>194.5</v>
      </c>
      <c r="F8" s="107">
        <f>C8*E8</f>
        <v>3073.1000000000004</v>
      </c>
    </row>
    <row r="9" spans="1:6" ht="75">
      <c r="A9" s="107" t="s">
        <v>196</v>
      </c>
      <c r="B9" s="107" t="s">
        <v>193</v>
      </c>
      <c r="C9" s="107">
        <v>24.073</v>
      </c>
      <c r="D9" s="107" t="s">
        <v>136</v>
      </c>
      <c r="E9" s="107">
        <v>4961.7299999999996</v>
      </c>
      <c r="F9" s="107">
        <f t="shared" ref="F9" si="1">C9*E9</f>
        <v>119443.72628999999</v>
      </c>
    </row>
    <row r="10" spans="1:6">
      <c r="A10" s="107">
        <v>8</v>
      </c>
      <c r="B10" s="107" t="s">
        <v>185</v>
      </c>
      <c r="C10" s="107"/>
      <c r="D10" s="107"/>
      <c r="E10" s="107"/>
      <c r="F10" s="107"/>
    </row>
    <row r="11" spans="1:6">
      <c r="A11" s="107"/>
      <c r="B11" s="107" t="s">
        <v>186</v>
      </c>
      <c r="C11" s="107">
        <v>10.35</v>
      </c>
      <c r="D11" s="107" t="s">
        <v>76</v>
      </c>
      <c r="E11" s="107">
        <v>744.66</v>
      </c>
      <c r="F11" s="107">
        <f t="shared" ref="F11:F15" si="2">PRODUCT(C11:E11)</f>
        <v>7707.2309999999998</v>
      </c>
    </row>
    <row r="12" spans="1:6">
      <c r="A12" s="107"/>
      <c r="B12" s="107" t="s">
        <v>187</v>
      </c>
      <c r="C12" s="107">
        <v>3.85</v>
      </c>
      <c r="D12" s="107" t="s">
        <v>76</v>
      </c>
      <c r="E12" s="107">
        <v>342.9</v>
      </c>
      <c r="F12" s="107">
        <f t="shared" si="2"/>
        <v>1320.165</v>
      </c>
    </row>
    <row r="13" spans="1:6">
      <c r="A13" s="107"/>
      <c r="B13" s="107" t="s">
        <v>188</v>
      </c>
      <c r="C13" s="107">
        <v>20.7</v>
      </c>
      <c r="D13" s="107" t="s">
        <v>76</v>
      </c>
      <c r="E13" s="107">
        <v>342.9</v>
      </c>
      <c r="F13" s="107">
        <f t="shared" si="2"/>
        <v>7098.0299999999988</v>
      </c>
    </row>
    <row r="14" spans="1:6">
      <c r="A14" s="107"/>
      <c r="B14" s="107" t="s">
        <v>189</v>
      </c>
      <c r="C14" s="107">
        <v>20.059999999999999</v>
      </c>
      <c r="D14" s="107" t="s">
        <v>76</v>
      </c>
      <c r="E14" s="107">
        <v>570.94000000000005</v>
      </c>
      <c r="F14" s="107">
        <f t="shared" si="2"/>
        <v>11453.056399999999</v>
      </c>
    </row>
    <row r="15" spans="1:6">
      <c r="A15" s="107"/>
      <c r="B15" s="107" t="s">
        <v>190</v>
      </c>
      <c r="C15" s="107">
        <v>32.26</v>
      </c>
      <c r="D15" s="107" t="s">
        <v>76</v>
      </c>
      <c r="E15" s="107">
        <v>117.54</v>
      </c>
      <c r="F15" s="107">
        <f t="shared" si="2"/>
        <v>3791.8404</v>
      </c>
    </row>
    <row r="16" spans="1:6">
      <c r="A16" s="139"/>
      <c r="B16" s="105"/>
      <c r="C16" s="44"/>
      <c r="D16" s="138"/>
      <c r="E16" s="44" t="s">
        <v>121</v>
      </c>
      <c r="F16" s="45">
        <f>SUM(F5:F15)</f>
        <v>195359.16278999997</v>
      </c>
    </row>
    <row r="17" spans="1:6" ht="30">
      <c r="A17" s="139"/>
      <c r="B17" s="105"/>
      <c r="C17" s="44"/>
      <c r="D17" s="138"/>
      <c r="E17" s="107" t="s">
        <v>122</v>
      </c>
      <c r="F17" s="107">
        <f>F16*18/100</f>
        <v>35164.649302199992</v>
      </c>
    </row>
    <row r="18" spans="1:6">
      <c r="A18" s="139"/>
      <c r="B18" s="105"/>
      <c r="C18" s="44"/>
      <c r="D18" s="138"/>
      <c r="E18" s="107"/>
      <c r="F18" s="107">
        <f>F17+F16</f>
        <v>230523.81209219998</v>
      </c>
    </row>
    <row r="19" spans="1:6" ht="30">
      <c r="A19" s="139"/>
      <c r="B19" s="105"/>
      <c r="C19" s="44"/>
      <c r="D19" s="138"/>
      <c r="E19" s="107" t="s">
        <v>123</v>
      </c>
      <c r="F19" s="107">
        <f>F18*1/100</f>
        <v>2305.2381209219998</v>
      </c>
    </row>
    <row r="20" spans="1:6">
      <c r="A20" s="139"/>
      <c r="B20" s="105"/>
      <c r="C20" s="44"/>
      <c r="D20" s="138"/>
      <c r="E20" s="107" t="s">
        <v>191</v>
      </c>
      <c r="F20" s="107">
        <f>F19+F18</f>
        <v>232829.05021312198</v>
      </c>
    </row>
  </sheetData>
  <mergeCells count="3">
    <mergeCell ref="A1:F1"/>
    <mergeCell ref="A2:F2"/>
    <mergeCell ref="A3:F3"/>
  </mergeCells>
  <pageMargins left="0.7" right="0.7" top="0.75" bottom="0.75" header="0.3" footer="0.3"/>
</worksheet>
</file>

<file path=xl/worksheets/sheet24.xml><?xml version="1.0" encoding="utf-8"?>
<worksheet xmlns="http://schemas.openxmlformats.org/spreadsheetml/2006/main" xmlns:r="http://schemas.openxmlformats.org/officeDocument/2006/relationships">
  <dimension ref="A1:F20"/>
  <sheetViews>
    <sheetView workbookViewId="0">
      <selection activeCell="A3" sqref="A3:F3"/>
    </sheetView>
  </sheetViews>
  <sheetFormatPr defaultRowHeight="15"/>
  <cols>
    <col min="1" max="1" width="9.140625" style="140"/>
    <col min="2" max="2" width="44.5703125" style="141" customWidth="1"/>
    <col min="3" max="3" width="9.140625" style="108"/>
    <col min="4" max="4" width="9.140625" style="142"/>
    <col min="5" max="5" width="9.140625" style="108"/>
    <col min="6" max="6" width="16.42578125" style="143" customWidth="1"/>
    <col min="7" max="16384" width="9.140625" style="108"/>
  </cols>
  <sheetData>
    <row r="1" spans="1:6" ht="18.75">
      <c r="A1" s="240" t="s">
        <v>49</v>
      </c>
      <c r="B1" s="240"/>
      <c r="C1" s="240"/>
      <c r="D1" s="240"/>
      <c r="E1" s="240"/>
      <c r="F1" s="240"/>
    </row>
    <row r="2" spans="1:6" ht="18.75">
      <c r="A2" s="240" t="s">
        <v>114</v>
      </c>
      <c r="B2" s="240"/>
      <c r="C2" s="240"/>
      <c r="D2" s="240"/>
      <c r="E2" s="240"/>
      <c r="F2" s="240"/>
    </row>
    <row r="3" spans="1:6" ht="57.75" customHeight="1">
      <c r="A3" s="241" t="s">
        <v>222</v>
      </c>
      <c r="B3" s="241"/>
      <c r="C3" s="241"/>
      <c r="D3" s="241"/>
      <c r="E3" s="241"/>
      <c r="F3" s="241"/>
    </row>
    <row r="4" spans="1:6">
      <c r="A4" s="30" t="s">
        <v>51</v>
      </c>
      <c r="B4" s="30" t="s">
        <v>52</v>
      </c>
      <c r="C4" s="30" t="s">
        <v>53</v>
      </c>
      <c r="D4" s="30" t="s">
        <v>54</v>
      </c>
      <c r="E4" s="30" t="s">
        <v>55</v>
      </c>
      <c r="F4" s="30" t="s">
        <v>56</v>
      </c>
    </row>
    <row r="5" spans="1:6" ht="165">
      <c r="A5" s="107" t="s">
        <v>170</v>
      </c>
      <c r="B5" s="107" t="s">
        <v>171</v>
      </c>
      <c r="C5" s="107">
        <v>75.900000000000006</v>
      </c>
      <c r="D5" s="107" t="s">
        <v>76</v>
      </c>
      <c r="E5" s="107">
        <v>151.82</v>
      </c>
      <c r="F5" s="107">
        <f t="shared" ref="F5:F7" si="0">C5*E5</f>
        <v>11523.138000000001</v>
      </c>
    </row>
    <row r="6" spans="1:6" ht="105">
      <c r="A6" s="138">
        <v>2</v>
      </c>
      <c r="B6" s="107" t="s">
        <v>220</v>
      </c>
      <c r="C6" s="107">
        <v>9.06</v>
      </c>
      <c r="D6" s="107" t="s">
        <v>76</v>
      </c>
      <c r="E6" s="107">
        <v>348.29</v>
      </c>
      <c r="F6" s="107">
        <f t="shared" si="0"/>
        <v>3155.5074000000004</v>
      </c>
    </row>
    <row r="7" spans="1:6" ht="90">
      <c r="A7" s="107" t="s">
        <v>174</v>
      </c>
      <c r="B7" s="107" t="s">
        <v>175</v>
      </c>
      <c r="C7" s="107">
        <v>47.2</v>
      </c>
      <c r="D7" s="107" t="s">
        <v>76</v>
      </c>
      <c r="E7" s="107">
        <v>1756.4</v>
      </c>
      <c r="F7" s="107">
        <f t="shared" si="0"/>
        <v>82902.080000000016</v>
      </c>
    </row>
    <row r="8" spans="1:6" ht="60">
      <c r="A8" s="107" t="s">
        <v>183</v>
      </c>
      <c r="B8" s="107" t="s">
        <v>184</v>
      </c>
      <c r="C8" s="107">
        <v>37.17</v>
      </c>
      <c r="D8" s="107" t="s">
        <v>89</v>
      </c>
      <c r="E8" s="107">
        <v>194.5</v>
      </c>
      <c r="F8" s="107">
        <f>C8*E8</f>
        <v>7229.5650000000005</v>
      </c>
    </row>
    <row r="9" spans="1:6" ht="75">
      <c r="A9" s="107" t="s">
        <v>196</v>
      </c>
      <c r="B9" s="107" t="s">
        <v>193</v>
      </c>
      <c r="C9" s="107">
        <v>56.640999999999998</v>
      </c>
      <c r="D9" s="107" t="s">
        <v>136</v>
      </c>
      <c r="E9" s="107">
        <v>4961.7299999999996</v>
      </c>
      <c r="F9" s="107">
        <f t="shared" ref="F9" si="1">C9*E9</f>
        <v>281037.34892999998</v>
      </c>
    </row>
    <row r="10" spans="1:6">
      <c r="A10" s="107">
        <v>8</v>
      </c>
      <c r="B10" s="107" t="s">
        <v>185</v>
      </c>
      <c r="C10" s="107"/>
      <c r="D10" s="107"/>
      <c r="E10" s="107"/>
      <c r="F10" s="107"/>
    </row>
    <row r="11" spans="1:6">
      <c r="A11" s="107"/>
      <c r="B11" s="107" t="s">
        <v>186</v>
      </c>
      <c r="C11" s="107">
        <v>24.36</v>
      </c>
      <c r="D11" s="107" t="s">
        <v>76</v>
      </c>
      <c r="E11" s="107">
        <v>744.66</v>
      </c>
      <c r="F11" s="107">
        <f t="shared" ref="F11:F15" si="2">PRODUCT(C11:E11)</f>
        <v>18139.917599999997</v>
      </c>
    </row>
    <row r="12" spans="1:6">
      <c r="A12" s="107"/>
      <c r="B12" s="107" t="s">
        <v>187</v>
      </c>
      <c r="C12" s="107">
        <v>9.06</v>
      </c>
      <c r="D12" s="107" t="s">
        <v>76</v>
      </c>
      <c r="E12" s="107">
        <v>342.9</v>
      </c>
      <c r="F12" s="107">
        <f t="shared" si="2"/>
        <v>3106.674</v>
      </c>
    </row>
    <row r="13" spans="1:6">
      <c r="A13" s="107"/>
      <c r="B13" s="107" t="s">
        <v>188</v>
      </c>
      <c r="C13" s="107">
        <v>48.71</v>
      </c>
      <c r="D13" s="107" t="s">
        <v>76</v>
      </c>
      <c r="E13" s="107">
        <v>342.9</v>
      </c>
      <c r="F13" s="107">
        <f t="shared" si="2"/>
        <v>16702.659</v>
      </c>
    </row>
    <row r="14" spans="1:6">
      <c r="A14" s="107"/>
      <c r="B14" s="107" t="s">
        <v>189</v>
      </c>
      <c r="C14" s="107">
        <v>47.2</v>
      </c>
      <c r="D14" s="107" t="s">
        <v>76</v>
      </c>
      <c r="E14" s="107">
        <v>570.94000000000005</v>
      </c>
      <c r="F14" s="107">
        <f t="shared" si="2"/>
        <v>26948.368000000006</v>
      </c>
    </row>
    <row r="15" spans="1:6">
      <c r="A15" s="107"/>
      <c r="B15" s="107" t="s">
        <v>190</v>
      </c>
      <c r="C15" s="107">
        <v>75.900000000000006</v>
      </c>
      <c r="D15" s="107" t="s">
        <v>76</v>
      </c>
      <c r="E15" s="107">
        <v>117.54</v>
      </c>
      <c r="F15" s="107">
        <f t="shared" si="2"/>
        <v>8921.2860000000019</v>
      </c>
    </row>
    <row r="16" spans="1:6">
      <c r="A16" s="139"/>
      <c r="B16" s="105"/>
      <c r="C16" s="44"/>
      <c r="D16" s="138"/>
      <c r="E16" s="44" t="s">
        <v>121</v>
      </c>
      <c r="F16" s="45">
        <f>SUM(F5:F15)</f>
        <v>459666.54393000004</v>
      </c>
    </row>
    <row r="17" spans="1:6" ht="30">
      <c r="A17" s="139"/>
      <c r="B17" s="105"/>
      <c r="C17" s="44"/>
      <c r="D17" s="138"/>
      <c r="E17" s="107" t="s">
        <v>122</v>
      </c>
      <c r="F17" s="107">
        <f>F16*18/100</f>
        <v>82739.977907400011</v>
      </c>
    </row>
    <row r="18" spans="1:6">
      <c r="A18" s="139"/>
      <c r="B18" s="105"/>
      <c r="C18" s="44"/>
      <c r="D18" s="138"/>
      <c r="E18" s="107"/>
      <c r="F18" s="107">
        <f>F17+F16</f>
        <v>542406.52183740004</v>
      </c>
    </row>
    <row r="19" spans="1:6" ht="30">
      <c r="A19" s="139"/>
      <c r="B19" s="105"/>
      <c r="C19" s="44"/>
      <c r="D19" s="138"/>
      <c r="E19" s="107" t="s">
        <v>123</v>
      </c>
      <c r="F19" s="107">
        <f>F18*1/100</f>
        <v>5424.0652183740003</v>
      </c>
    </row>
    <row r="20" spans="1:6">
      <c r="A20" s="139"/>
      <c r="B20" s="105"/>
      <c r="C20" s="44"/>
      <c r="D20" s="138"/>
      <c r="E20" s="107" t="s">
        <v>191</v>
      </c>
      <c r="F20" s="107">
        <f>F19+F18</f>
        <v>547830.58705577406</v>
      </c>
    </row>
  </sheetData>
  <mergeCells count="3">
    <mergeCell ref="A1:F1"/>
    <mergeCell ref="A2:F2"/>
    <mergeCell ref="A3:F3"/>
  </mergeCells>
  <pageMargins left="0.7" right="0.7" top="0.75" bottom="0.75" header="0.3" footer="0.3"/>
</worksheet>
</file>

<file path=xl/worksheets/sheet25.xml><?xml version="1.0" encoding="utf-8"?>
<worksheet xmlns="http://schemas.openxmlformats.org/spreadsheetml/2006/main" xmlns:r="http://schemas.openxmlformats.org/officeDocument/2006/relationships">
  <dimension ref="A1:F23"/>
  <sheetViews>
    <sheetView workbookViewId="0">
      <selection activeCell="A3" sqref="A3:F3"/>
    </sheetView>
  </sheetViews>
  <sheetFormatPr defaultRowHeight="15"/>
  <cols>
    <col min="1" max="1" width="9.140625" style="140"/>
    <col min="2" max="2" width="44.5703125" style="141" customWidth="1"/>
    <col min="3" max="3" width="9.140625" style="108"/>
    <col min="4" max="4" width="9.140625" style="142"/>
    <col min="5" max="5" width="9.140625" style="108"/>
    <col min="6" max="6" width="16.42578125" style="143" customWidth="1"/>
    <col min="7" max="16384" width="9.140625" style="108"/>
  </cols>
  <sheetData>
    <row r="1" spans="1:6" ht="18.75">
      <c r="A1" s="240" t="s">
        <v>49</v>
      </c>
      <c r="B1" s="240"/>
      <c r="C1" s="240"/>
      <c r="D1" s="240"/>
      <c r="E1" s="240"/>
      <c r="F1" s="240"/>
    </row>
    <row r="2" spans="1:6" ht="18.75">
      <c r="A2" s="240" t="s">
        <v>114</v>
      </c>
      <c r="B2" s="240"/>
      <c r="C2" s="240"/>
      <c r="D2" s="240"/>
      <c r="E2" s="240"/>
      <c r="F2" s="240"/>
    </row>
    <row r="3" spans="1:6" ht="57.75" customHeight="1">
      <c r="A3" s="241" t="s">
        <v>169</v>
      </c>
      <c r="B3" s="241"/>
      <c r="C3" s="241"/>
      <c r="D3" s="241"/>
      <c r="E3" s="241"/>
      <c r="F3" s="241"/>
    </row>
    <row r="4" spans="1:6">
      <c r="A4" s="30" t="s">
        <v>51</v>
      </c>
      <c r="B4" s="30" t="s">
        <v>52</v>
      </c>
      <c r="C4" s="30" t="s">
        <v>53</v>
      </c>
      <c r="D4" s="30" t="s">
        <v>54</v>
      </c>
      <c r="E4" s="30" t="s">
        <v>55</v>
      </c>
      <c r="F4" s="30" t="s">
        <v>56</v>
      </c>
    </row>
    <row r="5" spans="1:6" ht="165">
      <c r="A5" s="107" t="s">
        <v>170</v>
      </c>
      <c r="B5" s="107" t="s">
        <v>171</v>
      </c>
      <c r="C5" s="107">
        <v>27.68</v>
      </c>
      <c r="D5" s="107" t="s">
        <v>76</v>
      </c>
      <c r="E5" s="107">
        <v>151.82</v>
      </c>
      <c r="F5" s="107">
        <f t="shared" ref="F5:F12" si="0">C5*E5</f>
        <v>4202.3775999999998</v>
      </c>
    </row>
    <row r="6" spans="1:6" ht="120">
      <c r="A6" s="107" t="s">
        <v>172</v>
      </c>
      <c r="B6" s="107" t="s">
        <v>173</v>
      </c>
      <c r="C6" s="107">
        <v>2.59</v>
      </c>
      <c r="D6" s="107" t="s">
        <v>76</v>
      </c>
      <c r="E6" s="107">
        <v>589.51</v>
      </c>
      <c r="F6" s="107">
        <f t="shared" si="0"/>
        <v>1526.8308999999999</v>
      </c>
    </row>
    <row r="7" spans="1:6" ht="90">
      <c r="A7" s="107" t="s">
        <v>174</v>
      </c>
      <c r="B7" s="107" t="s">
        <v>175</v>
      </c>
      <c r="C7" s="107">
        <v>4.32</v>
      </c>
      <c r="D7" s="107" t="s">
        <v>76</v>
      </c>
      <c r="E7" s="107">
        <v>1756.4</v>
      </c>
      <c r="F7" s="107">
        <f t="shared" si="0"/>
        <v>7587.648000000001</v>
      </c>
    </row>
    <row r="8" spans="1:6" ht="135">
      <c r="A8" s="107" t="s">
        <v>176</v>
      </c>
      <c r="B8" s="107" t="s">
        <v>177</v>
      </c>
      <c r="C8" s="107">
        <v>10.5</v>
      </c>
      <c r="D8" s="107" t="s">
        <v>136</v>
      </c>
      <c r="E8" s="107">
        <v>6082.45</v>
      </c>
      <c r="F8" s="107">
        <f t="shared" si="0"/>
        <v>63865.724999999999</v>
      </c>
    </row>
    <row r="9" spans="1:6" ht="120">
      <c r="A9" s="107" t="s">
        <v>178</v>
      </c>
      <c r="B9" s="107" t="s">
        <v>65</v>
      </c>
      <c r="C9" s="107">
        <v>4.3099999999999996</v>
      </c>
      <c r="D9" s="107" t="s">
        <v>11</v>
      </c>
      <c r="E9" s="107">
        <v>6308.87</v>
      </c>
      <c r="F9" s="107">
        <f t="shared" si="0"/>
        <v>27191.229699999996</v>
      </c>
    </row>
    <row r="10" spans="1:6" ht="120">
      <c r="A10" s="107" t="s">
        <v>179</v>
      </c>
      <c r="B10" s="107" t="s">
        <v>180</v>
      </c>
      <c r="C10" s="107">
        <v>0.38700000000000001</v>
      </c>
      <c r="D10" s="107" t="s">
        <v>181</v>
      </c>
      <c r="E10" s="107">
        <v>83314.02</v>
      </c>
      <c r="F10" s="107">
        <f t="shared" si="0"/>
        <v>32242.525740000001</v>
      </c>
    </row>
    <row r="11" spans="1:6">
      <c r="A11" s="107"/>
      <c r="B11" s="107" t="s">
        <v>182</v>
      </c>
      <c r="C11" s="107">
        <v>0.90300000000000002</v>
      </c>
      <c r="D11" s="107" t="s">
        <v>181</v>
      </c>
      <c r="E11" s="107">
        <v>82096.539999999994</v>
      </c>
      <c r="F11" s="107">
        <f t="shared" si="0"/>
        <v>74133.175619999995</v>
      </c>
    </row>
    <row r="12" spans="1:6" ht="60">
      <c r="A12" s="107" t="s">
        <v>183</v>
      </c>
      <c r="B12" s="107" t="s">
        <v>184</v>
      </c>
      <c r="C12" s="107">
        <v>130.11000000000001</v>
      </c>
      <c r="D12" s="107" t="s">
        <v>89</v>
      </c>
      <c r="E12" s="107">
        <v>194.5</v>
      </c>
      <c r="F12" s="107">
        <f t="shared" si="0"/>
        <v>25306.395000000004</v>
      </c>
    </row>
    <row r="13" spans="1:6">
      <c r="A13" s="107">
        <v>8</v>
      </c>
      <c r="B13" s="107" t="s">
        <v>185</v>
      </c>
      <c r="C13" s="107"/>
      <c r="D13" s="107"/>
      <c r="E13" s="107"/>
      <c r="F13" s="107"/>
    </row>
    <row r="14" spans="1:6">
      <c r="A14" s="107"/>
      <c r="B14" s="107" t="s">
        <v>186</v>
      </c>
      <c r="C14" s="107">
        <v>6.37</v>
      </c>
      <c r="D14" s="107" t="s">
        <v>76</v>
      </c>
      <c r="E14" s="107">
        <v>744.66</v>
      </c>
      <c r="F14" s="107">
        <f t="shared" ref="F14:F18" si="1">PRODUCT(C14:E14)</f>
        <v>4743.4841999999999</v>
      </c>
    </row>
    <row r="15" spans="1:6">
      <c r="A15" s="107"/>
      <c r="B15" s="107" t="s">
        <v>187</v>
      </c>
      <c r="C15" s="107">
        <v>2.59</v>
      </c>
      <c r="D15" s="107" t="s">
        <v>76</v>
      </c>
      <c r="E15" s="107">
        <v>387.54</v>
      </c>
      <c r="F15" s="107">
        <f t="shared" si="1"/>
        <v>1003.7286</v>
      </c>
    </row>
    <row r="16" spans="1:6">
      <c r="A16" s="107"/>
      <c r="B16" s="107" t="s">
        <v>188</v>
      </c>
      <c r="C16" s="107">
        <v>12.74</v>
      </c>
      <c r="D16" s="107" t="s">
        <v>76</v>
      </c>
      <c r="E16" s="107">
        <v>342.9</v>
      </c>
      <c r="F16" s="107">
        <f t="shared" si="1"/>
        <v>4368.5459999999994</v>
      </c>
    </row>
    <row r="17" spans="1:6">
      <c r="A17" s="107"/>
      <c r="B17" s="107" t="s">
        <v>189</v>
      </c>
      <c r="C17" s="107">
        <v>4.32</v>
      </c>
      <c r="D17" s="107" t="s">
        <v>76</v>
      </c>
      <c r="E17" s="107">
        <v>570.94000000000005</v>
      </c>
      <c r="F17" s="107">
        <f t="shared" si="1"/>
        <v>2466.4608000000003</v>
      </c>
    </row>
    <row r="18" spans="1:6">
      <c r="A18" s="107"/>
      <c r="B18" s="107" t="s">
        <v>190</v>
      </c>
      <c r="C18" s="107">
        <v>27.68</v>
      </c>
      <c r="D18" s="107" t="s">
        <v>76</v>
      </c>
      <c r="E18" s="107">
        <v>117.54</v>
      </c>
      <c r="F18" s="107">
        <f t="shared" si="1"/>
        <v>3253.5072</v>
      </c>
    </row>
    <row r="19" spans="1:6">
      <c r="A19" s="139"/>
      <c r="B19" s="105"/>
      <c r="C19" s="44"/>
      <c r="D19" s="138"/>
      <c r="E19" s="44" t="s">
        <v>121</v>
      </c>
      <c r="F19" s="45">
        <f>SUM(F5:F18)</f>
        <v>251891.63436000003</v>
      </c>
    </row>
    <row r="20" spans="1:6" ht="30">
      <c r="A20" s="139"/>
      <c r="B20" s="105"/>
      <c r="C20" s="44"/>
      <c r="D20" s="138"/>
      <c r="E20" s="107" t="s">
        <v>122</v>
      </c>
      <c r="F20" s="107">
        <f>F19*18/100</f>
        <v>45340.494184800002</v>
      </c>
    </row>
    <row r="21" spans="1:6">
      <c r="A21" s="139"/>
      <c r="B21" s="105"/>
      <c r="C21" s="44"/>
      <c r="D21" s="138"/>
      <c r="E21" s="107"/>
      <c r="F21" s="107">
        <f>F20+F19</f>
        <v>297232.12854480004</v>
      </c>
    </row>
    <row r="22" spans="1:6" ht="30">
      <c r="A22" s="139"/>
      <c r="B22" s="105"/>
      <c r="C22" s="44"/>
      <c r="D22" s="138"/>
      <c r="E22" s="107" t="s">
        <v>123</v>
      </c>
      <c r="F22" s="107">
        <f>F21*1/100</f>
        <v>2972.3212854480003</v>
      </c>
    </row>
    <row r="23" spans="1:6">
      <c r="A23" s="139"/>
      <c r="B23" s="105"/>
      <c r="C23" s="44"/>
      <c r="D23" s="138"/>
      <c r="E23" s="107" t="s">
        <v>191</v>
      </c>
      <c r="F23" s="107">
        <f>F22+F21</f>
        <v>300204.44983024802</v>
      </c>
    </row>
  </sheetData>
  <mergeCells count="3">
    <mergeCell ref="A1:F1"/>
    <mergeCell ref="A2:F2"/>
    <mergeCell ref="A3:F3"/>
  </mergeCells>
  <pageMargins left="0.7" right="0.7" top="0.75" bottom="0.75" header="0.3" footer="0.3"/>
</worksheet>
</file>

<file path=xl/worksheets/sheet26.xml><?xml version="1.0" encoding="utf-8"?>
<worksheet xmlns="http://schemas.openxmlformats.org/spreadsheetml/2006/main" xmlns:r="http://schemas.openxmlformats.org/officeDocument/2006/relationships">
  <dimension ref="A1:F14"/>
  <sheetViews>
    <sheetView workbookViewId="0">
      <selection activeCell="A3" sqref="A3:F3"/>
    </sheetView>
  </sheetViews>
  <sheetFormatPr defaultRowHeight="15"/>
  <cols>
    <col min="1" max="1" width="9.140625" style="140"/>
    <col min="2" max="2" width="44.5703125" style="141" customWidth="1"/>
    <col min="3" max="3" width="9.140625" style="108"/>
    <col min="4" max="4" width="9.140625" style="142"/>
    <col min="5" max="5" width="9.140625" style="108"/>
    <col min="6" max="6" width="16.42578125" style="143" customWidth="1"/>
    <col min="7" max="16384" width="9.140625" style="108"/>
  </cols>
  <sheetData>
    <row r="1" spans="1:6" ht="18.75">
      <c r="A1" s="240" t="s">
        <v>49</v>
      </c>
      <c r="B1" s="240"/>
      <c r="C1" s="240"/>
      <c r="D1" s="240"/>
      <c r="E1" s="240"/>
      <c r="F1" s="240"/>
    </row>
    <row r="2" spans="1:6" ht="18.75">
      <c r="A2" s="240" t="s">
        <v>114</v>
      </c>
      <c r="B2" s="240"/>
      <c r="C2" s="240"/>
      <c r="D2" s="240"/>
      <c r="E2" s="240"/>
      <c r="F2" s="240"/>
    </row>
    <row r="3" spans="1:6" ht="57.75" customHeight="1">
      <c r="A3" s="241" t="s">
        <v>194</v>
      </c>
      <c r="B3" s="241"/>
      <c r="C3" s="241"/>
      <c r="D3" s="241"/>
      <c r="E3" s="241"/>
      <c r="F3" s="241"/>
    </row>
    <row r="4" spans="1:6">
      <c r="A4" s="30" t="s">
        <v>51</v>
      </c>
      <c r="B4" s="30" t="s">
        <v>52</v>
      </c>
      <c r="C4" s="30" t="s">
        <v>53</v>
      </c>
      <c r="D4" s="30" t="s">
        <v>54</v>
      </c>
      <c r="E4" s="30" t="s">
        <v>55</v>
      </c>
      <c r="F4" s="30" t="s">
        <v>56</v>
      </c>
    </row>
    <row r="5" spans="1:6" ht="60">
      <c r="A5" s="107" t="s">
        <v>195</v>
      </c>
      <c r="B5" s="107" t="s">
        <v>192</v>
      </c>
      <c r="C5" s="107">
        <v>32.53</v>
      </c>
      <c r="D5" s="107" t="s">
        <v>89</v>
      </c>
      <c r="E5" s="107">
        <v>194.5</v>
      </c>
      <c r="F5" s="107">
        <f t="shared" ref="F5:F6" si="0">C5*E5</f>
        <v>6327.085</v>
      </c>
    </row>
    <row r="6" spans="1:6" ht="75">
      <c r="A6" s="107" t="s">
        <v>196</v>
      </c>
      <c r="B6" s="107" t="s">
        <v>193</v>
      </c>
      <c r="C6" s="107">
        <v>32.215000000000003</v>
      </c>
      <c r="D6" s="107" t="s">
        <v>136</v>
      </c>
      <c r="E6" s="107">
        <v>4961.7299999999996</v>
      </c>
      <c r="F6" s="107">
        <f t="shared" si="0"/>
        <v>159842.13195000001</v>
      </c>
    </row>
    <row r="7" spans="1:6">
      <c r="A7" s="138">
        <v>3</v>
      </c>
      <c r="B7" s="107" t="s">
        <v>185</v>
      </c>
      <c r="C7" s="107"/>
      <c r="D7" s="107"/>
      <c r="E7" s="107"/>
      <c r="F7" s="107"/>
    </row>
    <row r="8" spans="1:6">
      <c r="A8" s="107" t="s">
        <v>165</v>
      </c>
      <c r="B8" s="107" t="s">
        <v>186</v>
      </c>
      <c r="C8" s="107">
        <v>13.85</v>
      </c>
      <c r="D8" s="107" t="s">
        <v>76</v>
      </c>
      <c r="E8" s="107">
        <v>744.66</v>
      </c>
      <c r="F8" s="107">
        <f t="shared" ref="F8:F9" si="1">PRODUCT(C8:E8)</f>
        <v>10313.540999999999</v>
      </c>
    </row>
    <row r="9" spans="1:6">
      <c r="A9" s="107" t="s">
        <v>167</v>
      </c>
      <c r="B9" s="107" t="s">
        <v>188</v>
      </c>
      <c r="C9" s="107">
        <v>27.7</v>
      </c>
      <c r="D9" s="107" t="s">
        <v>76</v>
      </c>
      <c r="E9" s="107">
        <v>342.9</v>
      </c>
      <c r="F9" s="107">
        <f t="shared" si="1"/>
        <v>9498.33</v>
      </c>
    </row>
    <row r="10" spans="1:6">
      <c r="A10" s="139"/>
      <c r="B10" s="105"/>
      <c r="C10" s="44"/>
      <c r="D10" s="138"/>
      <c r="E10" s="44" t="s">
        <v>121</v>
      </c>
      <c r="F10" s="45">
        <f>SUM(F5:F9)</f>
        <v>185981.08794999999</v>
      </c>
    </row>
    <row r="11" spans="1:6" ht="30">
      <c r="A11" s="139"/>
      <c r="B11" s="105"/>
      <c r="C11" s="44"/>
      <c r="D11" s="138"/>
      <c r="E11" s="107" t="s">
        <v>122</v>
      </c>
      <c r="F11" s="107">
        <f>F10*18/100</f>
        <v>33476.595830999999</v>
      </c>
    </row>
    <row r="12" spans="1:6">
      <c r="A12" s="139"/>
      <c r="B12" s="105"/>
      <c r="C12" s="44"/>
      <c r="D12" s="138"/>
      <c r="E12" s="107"/>
      <c r="F12" s="107">
        <f>F11+F10</f>
        <v>219457.68378099997</v>
      </c>
    </row>
    <row r="13" spans="1:6" ht="30">
      <c r="A13" s="139"/>
      <c r="B13" s="105"/>
      <c r="C13" s="44"/>
      <c r="D13" s="138"/>
      <c r="E13" s="107" t="s">
        <v>123</v>
      </c>
      <c r="F13" s="107">
        <f>F12*1/100</f>
        <v>2194.5768378099997</v>
      </c>
    </row>
    <row r="14" spans="1:6">
      <c r="A14" s="139"/>
      <c r="B14" s="105"/>
      <c r="C14" s="44"/>
      <c r="D14" s="138"/>
      <c r="E14" s="107" t="s">
        <v>191</v>
      </c>
      <c r="F14" s="107">
        <f>F13+F12</f>
        <v>221652.26061880996</v>
      </c>
    </row>
  </sheetData>
  <mergeCells count="3">
    <mergeCell ref="A1:F1"/>
    <mergeCell ref="A2:F2"/>
    <mergeCell ref="A3:F3"/>
  </mergeCells>
  <pageMargins left="0.7" right="0.7" top="0.75" bottom="0.75" header="0.3" footer="0.3"/>
</worksheet>
</file>

<file path=xl/worksheets/sheet27.xml><?xml version="1.0" encoding="utf-8"?>
<worksheet xmlns="http://schemas.openxmlformats.org/spreadsheetml/2006/main" xmlns:r="http://schemas.openxmlformats.org/officeDocument/2006/relationships">
  <dimension ref="A1:F24"/>
  <sheetViews>
    <sheetView workbookViewId="0">
      <selection activeCell="A3" sqref="A3:F3"/>
    </sheetView>
  </sheetViews>
  <sheetFormatPr defaultRowHeight="15"/>
  <cols>
    <col min="1" max="1" width="9.140625" style="140"/>
    <col min="2" max="2" width="44.5703125" style="141" customWidth="1"/>
    <col min="3" max="3" width="9.140625" style="108"/>
    <col min="4" max="4" width="9.140625" style="142"/>
    <col min="5" max="5" width="9.140625" style="108"/>
    <col min="6" max="6" width="16.42578125" style="143" customWidth="1"/>
    <col min="7" max="16384" width="9.140625" style="108"/>
  </cols>
  <sheetData>
    <row r="1" spans="1:6" ht="18.75">
      <c r="A1" s="240" t="s">
        <v>49</v>
      </c>
      <c r="B1" s="240"/>
      <c r="C1" s="240"/>
      <c r="D1" s="240"/>
      <c r="E1" s="240"/>
      <c r="F1" s="240"/>
    </row>
    <row r="2" spans="1:6" ht="18.75">
      <c r="A2" s="240" t="s">
        <v>114</v>
      </c>
      <c r="B2" s="240"/>
      <c r="C2" s="240"/>
      <c r="D2" s="240"/>
      <c r="E2" s="240"/>
      <c r="F2" s="240"/>
    </row>
    <row r="3" spans="1:6" ht="57.75" customHeight="1">
      <c r="A3" s="241" t="s">
        <v>199</v>
      </c>
      <c r="B3" s="241"/>
      <c r="C3" s="241"/>
      <c r="D3" s="241"/>
      <c r="E3" s="241"/>
      <c r="F3" s="241"/>
    </row>
    <row r="4" spans="1:6">
      <c r="A4" s="30" t="s">
        <v>51</v>
      </c>
      <c r="B4" s="30" t="s">
        <v>52</v>
      </c>
      <c r="C4" s="30" t="s">
        <v>53</v>
      </c>
      <c r="D4" s="30" t="s">
        <v>54</v>
      </c>
      <c r="E4" s="30" t="s">
        <v>55</v>
      </c>
      <c r="F4" s="30" t="s">
        <v>56</v>
      </c>
    </row>
    <row r="5" spans="1:6">
      <c r="A5" s="107" t="s">
        <v>197</v>
      </c>
      <c r="B5" s="107" t="s">
        <v>198</v>
      </c>
      <c r="C5" s="107">
        <v>11.14</v>
      </c>
      <c r="D5" s="107" t="s">
        <v>11</v>
      </c>
      <c r="E5" s="107">
        <v>955.89</v>
      </c>
      <c r="F5" s="107">
        <f>C5*E5</f>
        <v>10648.614600000001</v>
      </c>
    </row>
    <row r="6" spans="1:6" ht="165">
      <c r="A6" s="107" t="s">
        <v>170</v>
      </c>
      <c r="B6" s="107" t="s">
        <v>171</v>
      </c>
      <c r="C6" s="107">
        <v>55.35</v>
      </c>
      <c r="D6" s="107" t="s">
        <v>76</v>
      </c>
      <c r="E6" s="107">
        <v>151.82</v>
      </c>
      <c r="F6" s="107">
        <f t="shared" ref="F6:F13" si="0">C6*E6</f>
        <v>8403.2369999999992</v>
      </c>
    </row>
    <row r="7" spans="1:6" ht="120">
      <c r="A7" s="107" t="s">
        <v>172</v>
      </c>
      <c r="B7" s="107" t="s">
        <v>173</v>
      </c>
      <c r="C7" s="107">
        <v>5.18</v>
      </c>
      <c r="D7" s="107" t="s">
        <v>76</v>
      </c>
      <c r="E7" s="107">
        <v>589.51</v>
      </c>
      <c r="F7" s="107">
        <f t="shared" si="0"/>
        <v>3053.6617999999999</v>
      </c>
    </row>
    <row r="8" spans="1:6" ht="90">
      <c r="A8" s="107" t="s">
        <v>174</v>
      </c>
      <c r="B8" s="107" t="s">
        <v>175</v>
      </c>
      <c r="C8" s="107">
        <v>8.64</v>
      </c>
      <c r="D8" s="107" t="s">
        <v>76</v>
      </c>
      <c r="E8" s="107">
        <v>1756.4</v>
      </c>
      <c r="F8" s="107">
        <f t="shared" si="0"/>
        <v>15175.296000000002</v>
      </c>
    </row>
    <row r="9" spans="1:6" ht="135">
      <c r="A9" s="107" t="s">
        <v>176</v>
      </c>
      <c r="B9" s="107" t="s">
        <v>177</v>
      </c>
      <c r="C9" s="107">
        <v>20.98</v>
      </c>
      <c r="D9" s="107" t="s">
        <v>136</v>
      </c>
      <c r="E9" s="107">
        <v>6082.45</v>
      </c>
      <c r="F9" s="107">
        <f t="shared" si="0"/>
        <v>127609.80099999999</v>
      </c>
    </row>
    <row r="10" spans="1:6" ht="120">
      <c r="A10" s="107" t="s">
        <v>178</v>
      </c>
      <c r="B10" s="107" t="s">
        <v>65</v>
      </c>
      <c r="C10" s="107">
        <v>10.37</v>
      </c>
      <c r="D10" s="107" t="s">
        <v>11</v>
      </c>
      <c r="E10" s="107">
        <v>6308.87</v>
      </c>
      <c r="F10" s="107">
        <f t="shared" si="0"/>
        <v>65422.981899999992</v>
      </c>
    </row>
    <row r="11" spans="1:6" ht="120">
      <c r="A11" s="107" t="s">
        <v>179</v>
      </c>
      <c r="B11" s="107" t="s">
        <v>180</v>
      </c>
      <c r="C11" s="107">
        <f>F11/E11</f>
        <v>1.6440000134431154</v>
      </c>
      <c r="D11" s="107" t="s">
        <v>181</v>
      </c>
      <c r="E11" s="107">
        <v>83314.02</v>
      </c>
      <c r="F11" s="107">
        <v>136968.25</v>
      </c>
    </row>
    <row r="12" spans="1:6">
      <c r="A12" s="107"/>
      <c r="B12" s="107" t="s">
        <v>182</v>
      </c>
      <c r="C12" s="107">
        <v>1.1000000000000001</v>
      </c>
      <c r="D12" s="107" t="s">
        <v>181</v>
      </c>
      <c r="E12" s="107">
        <v>82096.539999999994</v>
      </c>
      <c r="F12" s="107">
        <f t="shared" si="0"/>
        <v>90306.194000000003</v>
      </c>
    </row>
    <row r="13" spans="1:6" ht="60">
      <c r="A13" s="107" t="s">
        <v>183</v>
      </c>
      <c r="B13" s="107" t="s">
        <v>184</v>
      </c>
      <c r="C13" s="107">
        <v>185.57</v>
      </c>
      <c r="D13" s="107" t="s">
        <v>89</v>
      </c>
      <c r="E13" s="107">
        <v>194.5</v>
      </c>
      <c r="F13" s="107">
        <f t="shared" si="0"/>
        <v>36093.364999999998</v>
      </c>
    </row>
    <row r="14" spans="1:6">
      <c r="A14" s="107">
        <v>8</v>
      </c>
      <c r="B14" s="107" t="s">
        <v>185</v>
      </c>
      <c r="C14" s="107"/>
      <c r="D14" s="107"/>
      <c r="E14" s="107"/>
      <c r="F14" s="107"/>
    </row>
    <row r="15" spans="1:6">
      <c r="A15" s="107"/>
      <c r="B15" s="107" t="s">
        <v>186</v>
      </c>
      <c r="C15" s="107">
        <v>13.48</v>
      </c>
      <c r="D15" s="107" t="s">
        <v>76</v>
      </c>
      <c r="E15" s="107">
        <v>744.66</v>
      </c>
      <c r="F15" s="107">
        <f t="shared" ref="F15:F19" si="1">PRODUCT(C15:E15)</f>
        <v>10038.016799999999</v>
      </c>
    </row>
    <row r="16" spans="1:6">
      <c r="A16" s="107"/>
      <c r="B16" s="107" t="s">
        <v>187</v>
      </c>
      <c r="C16" s="107">
        <v>5.18</v>
      </c>
      <c r="D16" s="107" t="s">
        <v>76</v>
      </c>
      <c r="E16" s="107">
        <v>387.54</v>
      </c>
      <c r="F16" s="107">
        <f t="shared" si="1"/>
        <v>2007.4572000000001</v>
      </c>
    </row>
    <row r="17" spans="1:6">
      <c r="A17" s="107"/>
      <c r="B17" s="107" t="s">
        <v>188</v>
      </c>
      <c r="C17" s="107">
        <v>26.956</v>
      </c>
      <c r="D17" s="107" t="s">
        <v>76</v>
      </c>
      <c r="E17" s="107">
        <v>342.9</v>
      </c>
      <c r="F17" s="107">
        <f t="shared" si="1"/>
        <v>9243.2123999999985</v>
      </c>
    </row>
    <row r="18" spans="1:6">
      <c r="A18" s="107"/>
      <c r="B18" s="107" t="s">
        <v>189</v>
      </c>
      <c r="C18" s="107">
        <v>8.6379999999999999</v>
      </c>
      <c r="D18" s="107" t="s">
        <v>76</v>
      </c>
      <c r="E18" s="107">
        <v>570.94000000000005</v>
      </c>
      <c r="F18" s="107">
        <f t="shared" si="1"/>
        <v>4931.7797200000005</v>
      </c>
    </row>
    <row r="19" spans="1:6">
      <c r="A19" s="107"/>
      <c r="B19" s="107" t="s">
        <v>190</v>
      </c>
      <c r="C19" s="107">
        <v>55.35</v>
      </c>
      <c r="D19" s="107" t="s">
        <v>76</v>
      </c>
      <c r="E19" s="107">
        <v>117.54</v>
      </c>
      <c r="F19" s="107">
        <f t="shared" si="1"/>
        <v>6505.8390000000009</v>
      </c>
    </row>
    <row r="20" spans="1:6">
      <c r="A20" s="139"/>
      <c r="B20" s="105"/>
      <c r="C20" s="44"/>
      <c r="D20" s="138"/>
      <c r="E20" s="44" t="s">
        <v>121</v>
      </c>
      <c r="F20" s="45">
        <f>SUM(F5:F19)</f>
        <v>526407.70642000006</v>
      </c>
    </row>
    <row r="21" spans="1:6" ht="30">
      <c r="A21" s="139"/>
      <c r="B21" s="105"/>
      <c r="C21" s="44"/>
      <c r="D21" s="138"/>
      <c r="E21" s="107" t="s">
        <v>122</v>
      </c>
      <c r="F21" s="107">
        <f>F20*18/100</f>
        <v>94753.387155600009</v>
      </c>
    </row>
    <row r="22" spans="1:6">
      <c r="A22" s="139"/>
      <c r="B22" s="105"/>
      <c r="C22" s="44"/>
      <c r="D22" s="138"/>
      <c r="E22" s="107"/>
      <c r="F22" s="107">
        <f>F21+F20</f>
        <v>621161.09357560007</v>
      </c>
    </row>
    <row r="23" spans="1:6" ht="30">
      <c r="A23" s="139"/>
      <c r="B23" s="105"/>
      <c r="C23" s="44"/>
      <c r="D23" s="138"/>
      <c r="E23" s="107" t="s">
        <v>123</v>
      </c>
      <c r="F23" s="107">
        <f>F22*1/100</f>
        <v>6211.6109357560008</v>
      </c>
    </row>
    <row r="24" spans="1:6">
      <c r="A24" s="139"/>
      <c r="B24" s="105"/>
      <c r="C24" s="44"/>
      <c r="D24" s="138"/>
      <c r="E24" s="107" t="s">
        <v>191</v>
      </c>
      <c r="F24" s="107">
        <f>F23+F22</f>
        <v>627372.70451135607</v>
      </c>
    </row>
  </sheetData>
  <mergeCells count="3">
    <mergeCell ref="A1:F1"/>
    <mergeCell ref="A2:F2"/>
    <mergeCell ref="A3:F3"/>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J50"/>
  <sheetViews>
    <sheetView workbookViewId="0">
      <selection activeCell="A3" sqref="A3:F3"/>
    </sheetView>
  </sheetViews>
  <sheetFormatPr defaultRowHeight="15"/>
  <cols>
    <col min="1" max="1" width="7.7109375" customWidth="1"/>
    <col min="2" max="2" width="50.42578125" customWidth="1"/>
    <col min="3" max="3" width="8.5703125" customWidth="1"/>
    <col min="4" max="4" width="5.140625" bestFit="1" customWidth="1"/>
    <col min="5" max="5" width="10.28515625" customWidth="1"/>
    <col min="6" max="6" width="18.85546875" customWidth="1"/>
  </cols>
  <sheetData>
    <row r="1" spans="1:10" ht="34.5" customHeight="1">
      <c r="A1" s="228" t="s">
        <v>231</v>
      </c>
      <c r="B1" s="228"/>
      <c r="C1" s="228"/>
      <c r="D1" s="228"/>
      <c r="E1" s="228"/>
      <c r="F1" s="228"/>
    </row>
    <row r="2" spans="1:10" ht="18.75" customHeight="1">
      <c r="A2" s="229" t="s">
        <v>1</v>
      </c>
      <c r="B2" s="230"/>
      <c r="C2" s="230"/>
      <c r="D2" s="230"/>
      <c r="E2" s="230"/>
      <c r="F2" s="231"/>
    </row>
    <row r="3" spans="1:10" ht="38.25" customHeight="1">
      <c r="A3" s="233" t="s">
        <v>260</v>
      </c>
      <c r="B3" s="234"/>
      <c r="C3" s="234"/>
      <c r="D3" s="234"/>
      <c r="E3" s="234"/>
      <c r="F3" s="235"/>
      <c r="G3" s="87"/>
      <c r="H3" s="87"/>
      <c r="I3" s="87"/>
      <c r="J3" s="87"/>
    </row>
    <row r="4" spans="1:10" s="87" customFormat="1" ht="99" customHeight="1">
      <c r="A4" s="189" t="s">
        <v>261</v>
      </c>
      <c r="B4" s="190" t="s">
        <v>239</v>
      </c>
      <c r="C4" s="191">
        <f>'[2]Adv Anil'!G7</f>
        <v>40.832625318606624</v>
      </c>
      <c r="D4" s="192" t="s">
        <v>76</v>
      </c>
      <c r="E4" s="193">
        <v>151.82</v>
      </c>
      <c r="F4" s="194">
        <f>ROUND((C4*E4),2)</f>
        <v>6199.21</v>
      </c>
      <c r="G4"/>
      <c r="H4"/>
      <c r="I4"/>
      <c r="J4"/>
    </row>
    <row r="5" spans="1:10" ht="96" customHeight="1">
      <c r="A5" s="186" t="s">
        <v>257</v>
      </c>
      <c r="B5" s="187" t="s">
        <v>258</v>
      </c>
      <c r="C5" s="188">
        <f>'[2]Adv Anil'!G11</f>
        <v>3.8232795242141036</v>
      </c>
      <c r="D5" s="195" t="s">
        <v>76</v>
      </c>
      <c r="E5" s="188">
        <f>'[2]Adv Anil'!I11</f>
        <v>347.85</v>
      </c>
      <c r="F5" s="196">
        <f t="shared" ref="F5:F17" si="0">ROUND((C5*E5),2)</f>
        <v>1329.93</v>
      </c>
      <c r="G5" s="163"/>
      <c r="H5" s="163"/>
      <c r="I5" s="163"/>
      <c r="J5" s="163"/>
    </row>
    <row r="6" spans="1:10" s="163" customFormat="1" ht="81.75" customHeight="1">
      <c r="A6" s="152" t="s">
        <v>242</v>
      </c>
      <c r="B6" s="197" t="s">
        <v>243</v>
      </c>
      <c r="C6" s="198">
        <f>'[2]Adv Anil'!G15</f>
        <v>6.2701784197111285</v>
      </c>
      <c r="D6" s="192" t="s">
        <v>76</v>
      </c>
      <c r="E6" s="198">
        <v>1756.4</v>
      </c>
      <c r="F6" s="194">
        <f t="shared" si="0"/>
        <v>11012.94</v>
      </c>
    </row>
    <row r="7" spans="1:10" s="163" customFormat="1" ht="59.25" customHeight="1">
      <c r="A7" s="152" t="s">
        <v>262</v>
      </c>
      <c r="B7" s="199" t="s">
        <v>263</v>
      </c>
      <c r="C7" s="198">
        <f>'[2]Adv Anil'!G20</f>
        <v>19.116397621070519</v>
      </c>
      <c r="D7" s="192" t="s">
        <v>76</v>
      </c>
      <c r="E7" s="198">
        <v>6082.45</v>
      </c>
      <c r="F7" s="194">
        <v>116296.44</v>
      </c>
    </row>
    <row r="8" spans="1:10" s="163" customFormat="1" ht="58.5" customHeight="1">
      <c r="A8" s="152" t="s">
        <v>264</v>
      </c>
      <c r="B8" s="199" t="s">
        <v>265</v>
      </c>
      <c r="C8" s="198">
        <f>'[2]Adv Anil'!G24</f>
        <v>7.6465590484282071</v>
      </c>
      <c r="D8" s="192" t="s">
        <v>76</v>
      </c>
      <c r="E8" s="198">
        <v>6308.87</v>
      </c>
      <c r="F8" s="194">
        <v>48262.86</v>
      </c>
    </row>
    <row r="9" spans="1:10" s="163" customFormat="1" ht="120.75" customHeight="1">
      <c r="A9" s="200">
        <v>6</v>
      </c>
      <c r="B9" s="201" t="s">
        <v>266</v>
      </c>
      <c r="C9" s="202">
        <f>'[2]Adv Anil'!G27</f>
        <v>0.85050000000000003</v>
      </c>
      <c r="D9" s="192" t="s">
        <v>76</v>
      </c>
      <c r="E9" s="198">
        <v>83314.02</v>
      </c>
      <c r="F9" s="194">
        <v>70900.23</v>
      </c>
    </row>
    <row r="10" spans="1:10" s="163" customFormat="1" ht="28.5" customHeight="1">
      <c r="A10" s="200"/>
      <c r="B10" s="201" t="s">
        <v>267</v>
      </c>
      <c r="C10" s="202">
        <f>'[2]Adv Anil'!G29</f>
        <v>1.2993749999999999</v>
      </c>
      <c r="D10" s="192" t="s">
        <v>76</v>
      </c>
      <c r="E10" s="198">
        <v>82096.539999999994</v>
      </c>
      <c r="F10" s="194">
        <v>106643.41</v>
      </c>
      <c r="I10" s="163" t="s">
        <v>268</v>
      </c>
    </row>
    <row r="11" spans="1:10" s="163" customFormat="1" ht="70.5" customHeight="1">
      <c r="A11" s="152" t="s">
        <v>269</v>
      </c>
      <c r="B11" s="197" t="s">
        <v>247</v>
      </c>
      <c r="C11" s="203">
        <f>'[2]Adv Anil'!G35</f>
        <v>150.55762081784388</v>
      </c>
      <c r="D11" s="204" t="s">
        <v>248</v>
      </c>
      <c r="E11" s="205">
        <v>194.5</v>
      </c>
      <c r="F11" s="194">
        <f t="shared" si="0"/>
        <v>29283.46</v>
      </c>
    </row>
    <row r="12" spans="1:10" s="163" customFormat="1" ht="18.75" customHeight="1">
      <c r="A12" s="152">
        <v>8</v>
      </c>
      <c r="B12" s="197" t="s">
        <v>270</v>
      </c>
      <c r="C12" s="203">
        <v>0</v>
      </c>
      <c r="D12" s="203">
        <v>0</v>
      </c>
      <c r="E12" s="205">
        <v>0</v>
      </c>
      <c r="F12" s="194">
        <v>0</v>
      </c>
    </row>
    <row r="13" spans="1:10" s="163" customFormat="1" ht="26.25" customHeight="1">
      <c r="A13" s="206" t="s">
        <v>35</v>
      </c>
      <c r="B13" s="207" t="s">
        <v>249</v>
      </c>
      <c r="C13" s="198">
        <f>'[2]Adv Anil'!G37</f>
        <v>11.508071367884453</v>
      </c>
      <c r="D13" s="198" t="s">
        <v>76</v>
      </c>
      <c r="E13" s="205">
        <v>848.82</v>
      </c>
      <c r="F13" s="194">
        <f t="shared" si="0"/>
        <v>9768.2800000000007</v>
      </c>
    </row>
    <row r="14" spans="1:10" s="163" customFormat="1" ht="24" customHeight="1">
      <c r="A14" s="206" t="s">
        <v>37</v>
      </c>
      <c r="B14" s="207" t="s">
        <v>250</v>
      </c>
      <c r="C14" s="198">
        <f>'[2]Adv Anil'!G38</f>
        <v>3.8232795242141036</v>
      </c>
      <c r="D14" s="198" t="s">
        <v>76</v>
      </c>
      <c r="E14" s="205">
        <f>'[2]Adv Anil'!I38</f>
        <v>447.06</v>
      </c>
      <c r="F14" s="194">
        <f t="shared" si="0"/>
        <v>1709.24</v>
      </c>
    </row>
    <row r="15" spans="1:10" s="163" customFormat="1" ht="24" customHeight="1">
      <c r="A15" s="206" t="s">
        <v>74</v>
      </c>
      <c r="B15" s="208" t="s">
        <v>251</v>
      </c>
      <c r="C15" s="198">
        <f>'[2]Adv Anil'!G39</f>
        <v>23.016142735768906</v>
      </c>
      <c r="D15" s="198" t="s">
        <v>76</v>
      </c>
      <c r="E15" s="205">
        <v>447.06</v>
      </c>
      <c r="F15" s="194">
        <f t="shared" si="0"/>
        <v>10289.6</v>
      </c>
    </row>
    <row r="16" spans="1:10" s="163" customFormat="1" ht="24" customHeight="1">
      <c r="A16" s="206" t="s">
        <v>39</v>
      </c>
      <c r="B16" s="208" t="s">
        <v>252</v>
      </c>
      <c r="C16" s="198">
        <f>'[2]Adv Anil'!G40</f>
        <v>6.2701784197111285</v>
      </c>
      <c r="D16" s="198" t="s">
        <v>76</v>
      </c>
      <c r="E16" s="205">
        <v>679.66</v>
      </c>
      <c r="F16" s="194">
        <f t="shared" si="0"/>
        <v>4261.59</v>
      </c>
    </row>
    <row r="17" spans="1:6" s="163" customFormat="1">
      <c r="A17" s="206" t="s">
        <v>41</v>
      </c>
      <c r="B17" s="208" t="s">
        <v>253</v>
      </c>
      <c r="C17" s="198">
        <f>'[2]Adv Anil'!G41</f>
        <v>40.832625318606624</v>
      </c>
      <c r="D17" s="198" t="s">
        <v>76</v>
      </c>
      <c r="E17" s="205">
        <v>117.54</v>
      </c>
      <c r="F17" s="194">
        <f t="shared" si="0"/>
        <v>4799.47</v>
      </c>
    </row>
    <row r="18" spans="1:6" s="163" customFormat="1">
      <c r="A18" s="209"/>
      <c r="B18" s="210"/>
      <c r="C18" s="211"/>
      <c r="D18" s="212"/>
      <c r="E18" s="212" t="s">
        <v>121</v>
      </c>
      <c r="F18" s="213">
        <f>SUM(F4:F17)</f>
        <v>420756.66000000003</v>
      </c>
    </row>
    <row r="19" spans="1:6" s="163" customFormat="1">
      <c r="A19" s="214"/>
      <c r="B19" s="215"/>
      <c r="C19" s="212"/>
      <c r="D19" s="211"/>
      <c r="E19" s="212" t="s">
        <v>254</v>
      </c>
      <c r="F19" s="213">
        <f>F18*18/100</f>
        <v>75736.198800000013</v>
      </c>
    </row>
    <row r="20" spans="1:6" s="163" customFormat="1">
      <c r="A20" s="214"/>
      <c r="B20" s="215"/>
      <c r="C20" s="212"/>
      <c r="D20" s="212"/>
      <c r="E20" s="212"/>
      <c r="F20" s="213">
        <f>F18+F19</f>
        <v>496492.85880000005</v>
      </c>
    </row>
    <row r="21" spans="1:6" s="163" customFormat="1">
      <c r="A21" s="214"/>
      <c r="B21" s="215"/>
      <c r="C21" s="212"/>
      <c r="D21" s="212"/>
      <c r="E21" s="212" t="s">
        <v>255</v>
      </c>
      <c r="F21" s="213">
        <f>F20*1/100</f>
        <v>4964.9285880000007</v>
      </c>
    </row>
    <row r="22" spans="1:6" s="163" customFormat="1">
      <c r="A22" s="214"/>
      <c r="B22" s="215"/>
      <c r="C22" s="212"/>
      <c r="D22" s="212"/>
      <c r="E22" s="212" t="s">
        <v>121</v>
      </c>
      <c r="F22" s="216">
        <f>F20+F21</f>
        <v>501457.78738800006</v>
      </c>
    </row>
    <row r="23" spans="1:6" s="163" customFormat="1">
      <c r="C23" s="184"/>
      <c r="D23" s="184"/>
      <c r="E23" s="184"/>
      <c r="F23" s="184"/>
    </row>
    <row r="24" spans="1:6" s="163" customFormat="1">
      <c r="C24" s="184"/>
      <c r="D24" s="184"/>
      <c r="E24" s="184"/>
      <c r="F24" s="184"/>
    </row>
    <row r="25" spans="1:6" s="163" customFormat="1">
      <c r="C25" s="184"/>
      <c r="D25" s="184"/>
      <c r="E25" s="184"/>
      <c r="F25" s="184"/>
    </row>
    <row r="26" spans="1:6" s="163" customFormat="1">
      <c r="C26" s="184"/>
      <c r="D26" s="184"/>
      <c r="E26" s="184"/>
      <c r="F26" s="184"/>
    </row>
    <row r="27" spans="1:6" s="163" customFormat="1">
      <c r="C27" s="184"/>
      <c r="D27" s="184"/>
      <c r="E27" s="184"/>
      <c r="F27" s="184"/>
    </row>
    <row r="28" spans="1:6" s="163" customFormat="1">
      <c r="C28" s="184"/>
      <c r="D28" s="184"/>
      <c r="E28" s="184"/>
      <c r="F28" s="184"/>
    </row>
    <row r="29" spans="1:6" s="163" customFormat="1">
      <c r="C29" s="184"/>
      <c r="D29" s="184"/>
      <c r="E29" s="184"/>
      <c r="F29" s="184"/>
    </row>
    <row r="30" spans="1:6" s="163" customFormat="1">
      <c r="C30" s="184"/>
      <c r="D30" s="184"/>
      <c r="E30" s="184"/>
      <c r="F30" s="184"/>
    </row>
    <row r="31" spans="1:6" s="163" customFormat="1">
      <c r="C31" s="184"/>
      <c r="D31" s="184"/>
      <c r="E31" s="184"/>
      <c r="F31" s="184"/>
    </row>
    <row r="32" spans="1:6" s="163" customFormat="1">
      <c r="C32" s="184"/>
      <c r="D32" s="184"/>
      <c r="E32" s="184"/>
      <c r="F32" s="184"/>
    </row>
    <row r="33" spans="1:10" s="163" customFormat="1">
      <c r="C33" s="184"/>
      <c r="D33" s="184"/>
      <c r="E33" s="184"/>
      <c r="F33" s="184"/>
    </row>
    <row r="34" spans="1:10" s="163" customFormat="1">
      <c r="C34" s="184"/>
      <c r="D34" s="184"/>
      <c r="E34" s="184"/>
      <c r="F34" s="184"/>
    </row>
    <row r="35" spans="1:10" s="163" customFormat="1">
      <c r="C35" s="184"/>
      <c r="D35" s="184"/>
      <c r="E35" s="184"/>
      <c r="F35" s="184"/>
    </row>
    <row r="36" spans="1:10" s="163" customFormat="1">
      <c r="C36" s="184"/>
      <c r="D36" s="184"/>
      <c r="E36" s="184"/>
      <c r="F36" s="184"/>
    </row>
    <row r="37" spans="1:10" s="163" customFormat="1">
      <c r="C37" s="184"/>
      <c r="D37" s="184"/>
      <c r="E37" s="184"/>
      <c r="F37" s="184"/>
    </row>
    <row r="38" spans="1:10" s="163" customFormat="1">
      <c r="C38" s="184"/>
      <c r="D38" s="184"/>
      <c r="E38" s="184"/>
      <c r="F38" s="184"/>
    </row>
    <row r="39" spans="1:10" s="163" customFormat="1">
      <c r="C39" s="184"/>
      <c r="D39" s="184"/>
      <c r="E39" s="184"/>
      <c r="F39" s="184"/>
    </row>
    <row r="40" spans="1:10" s="163" customFormat="1">
      <c r="A40"/>
      <c r="B40"/>
      <c r="C40" s="185"/>
      <c r="D40" s="185"/>
      <c r="E40" s="185"/>
      <c r="F40" s="185"/>
      <c r="G40"/>
      <c r="H40"/>
      <c r="I40"/>
      <c r="J40"/>
    </row>
    <row r="41" spans="1:10">
      <c r="C41" s="185"/>
      <c r="D41" s="185"/>
      <c r="E41" s="185"/>
      <c r="F41" s="185"/>
    </row>
    <row r="42" spans="1:10">
      <c r="C42" s="185"/>
      <c r="D42" s="185"/>
      <c r="E42" s="185"/>
      <c r="F42" s="185"/>
    </row>
    <row r="43" spans="1:10">
      <c r="C43" s="185"/>
      <c r="D43" s="185"/>
      <c r="E43" s="185"/>
      <c r="F43" s="185"/>
    </row>
    <row r="44" spans="1:10">
      <c r="C44" s="185"/>
      <c r="D44" s="185"/>
      <c r="E44" s="185"/>
      <c r="F44" s="185"/>
    </row>
    <row r="45" spans="1:10">
      <c r="C45" s="185"/>
      <c r="D45" s="185"/>
      <c r="E45" s="185"/>
      <c r="F45" s="185"/>
    </row>
    <row r="46" spans="1:10">
      <c r="C46" s="185"/>
      <c r="D46" s="185"/>
      <c r="E46" s="185"/>
      <c r="F46" s="185"/>
    </row>
    <row r="47" spans="1:10">
      <c r="C47" s="185"/>
      <c r="D47" s="185"/>
      <c r="E47" s="185"/>
      <c r="F47" s="185"/>
    </row>
    <row r="48" spans="1:10">
      <c r="C48" s="185"/>
      <c r="D48" s="185"/>
      <c r="E48" s="185"/>
      <c r="F48" s="185"/>
    </row>
    <row r="49" spans="3:6">
      <c r="C49" s="185"/>
      <c r="D49" s="185"/>
      <c r="E49" s="185"/>
      <c r="F49" s="185"/>
    </row>
    <row r="50" spans="3:6">
      <c r="C50" s="185"/>
      <c r="D50" s="185"/>
      <c r="E50" s="185"/>
      <c r="F50" s="185"/>
    </row>
  </sheetData>
  <mergeCells count="3">
    <mergeCell ref="A1:F1"/>
    <mergeCell ref="A2:F2"/>
    <mergeCell ref="A3:F3"/>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F51"/>
  <sheetViews>
    <sheetView workbookViewId="0">
      <selection activeCell="A3" sqref="A3:F3"/>
    </sheetView>
  </sheetViews>
  <sheetFormatPr defaultRowHeight="15"/>
  <cols>
    <col min="1" max="1" width="7.7109375" customWidth="1"/>
    <col min="2" max="2" width="50.42578125" customWidth="1"/>
    <col min="3" max="3" width="8.5703125" customWidth="1"/>
    <col min="4" max="4" width="5.140625" bestFit="1" customWidth="1"/>
    <col min="5" max="5" width="10.28515625" customWidth="1"/>
    <col min="6" max="6" width="18.85546875" customWidth="1"/>
  </cols>
  <sheetData>
    <row r="1" spans="1:6" ht="15.75">
      <c r="A1" s="228" t="s">
        <v>231</v>
      </c>
      <c r="B1" s="228"/>
      <c r="C1" s="228"/>
      <c r="D1" s="228"/>
      <c r="E1" s="228"/>
      <c r="F1" s="228"/>
    </row>
    <row r="2" spans="1:6" ht="15.75">
      <c r="A2" s="229" t="s">
        <v>1</v>
      </c>
      <c r="B2" s="230"/>
      <c r="C2" s="230"/>
      <c r="D2" s="230"/>
      <c r="E2" s="230"/>
      <c r="F2" s="231"/>
    </row>
    <row r="3" spans="1:6" ht="48.75" customHeight="1">
      <c r="A3" s="236" t="s">
        <v>271</v>
      </c>
      <c r="B3" s="236"/>
      <c r="C3" s="236"/>
      <c r="D3" s="236"/>
      <c r="E3" s="236"/>
      <c r="F3" s="236"/>
    </row>
    <row r="4" spans="1:6">
      <c r="A4" s="152" t="s">
        <v>233</v>
      </c>
      <c r="B4" s="153" t="s">
        <v>234</v>
      </c>
      <c r="C4" s="153" t="s">
        <v>235</v>
      </c>
      <c r="D4" s="153" t="s">
        <v>54</v>
      </c>
      <c r="E4" s="152" t="s">
        <v>236</v>
      </c>
      <c r="F4" s="152" t="s">
        <v>237</v>
      </c>
    </row>
    <row r="5" spans="1:6" s="87" customFormat="1" ht="72">
      <c r="A5" s="154" t="s">
        <v>238</v>
      </c>
      <c r="B5" s="155" t="s">
        <v>239</v>
      </c>
      <c r="C5" s="156">
        <v>32.51</v>
      </c>
      <c r="D5" s="157" t="s">
        <v>76</v>
      </c>
      <c r="E5" s="158">
        <v>151.82</v>
      </c>
      <c r="F5" s="159">
        <f>ROUND((C5*E5),2)</f>
        <v>4935.67</v>
      </c>
    </row>
    <row r="6" spans="1:6" ht="88.5" customHeight="1">
      <c r="A6" s="160" t="s">
        <v>240</v>
      </c>
      <c r="B6" s="161" t="s">
        <v>241</v>
      </c>
      <c r="C6" s="162">
        <v>3.04</v>
      </c>
      <c r="D6" s="157" t="s">
        <v>76</v>
      </c>
      <c r="E6" s="162">
        <v>589.51</v>
      </c>
      <c r="F6" s="159">
        <f t="shared" ref="F6:F18" si="0">ROUND((C6*E6),2)</f>
        <v>1792.11</v>
      </c>
    </row>
    <row r="7" spans="1:6" s="163" customFormat="1" ht="73.5" customHeight="1">
      <c r="A7" s="160" t="s">
        <v>242</v>
      </c>
      <c r="B7" s="161" t="s">
        <v>243</v>
      </c>
      <c r="C7" s="162">
        <v>4.99</v>
      </c>
      <c r="D7" s="157" t="s">
        <v>76</v>
      </c>
      <c r="E7" s="162">
        <v>1756.4</v>
      </c>
      <c r="F7" s="159">
        <f t="shared" si="0"/>
        <v>8764.44</v>
      </c>
    </row>
    <row r="8" spans="1:6" s="163" customFormat="1" ht="84.75" customHeight="1">
      <c r="A8" s="217" t="s">
        <v>272</v>
      </c>
      <c r="B8" s="218" t="s">
        <v>273</v>
      </c>
      <c r="C8" s="162">
        <v>15.22</v>
      </c>
      <c r="D8" s="157" t="s">
        <v>76</v>
      </c>
      <c r="E8" s="162">
        <v>6082.45</v>
      </c>
      <c r="F8" s="159">
        <f t="shared" si="0"/>
        <v>92574.89</v>
      </c>
    </row>
    <row r="9" spans="1:6" s="163" customFormat="1" ht="81" customHeight="1">
      <c r="A9" s="217" t="s">
        <v>274</v>
      </c>
      <c r="B9" s="219" t="s">
        <v>275</v>
      </c>
      <c r="C9" s="162">
        <v>6.09</v>
      </c>
      <c r="D9" s="157" t="s">
        <v>76</v>
      </c>
      <c r="E9" s="162">
        <v>6308.87</v>
      </c>
      <c r="F9" s="159">
        <f t="shared" si="0"/>
        <v>38421.019999999997</v>
      </c>
    </row>
    <row r="10" spans="1:6" s="163" customFormat="1" ht="96" customHeight="1">
      <c r="A10" s="220">
        <v>6</v>
      </c>
      <c r="B10" s="221" t="s">
        <v>276</v>
      </c>
      <c r="C10" s="162">
        <v>0.67</v>
      </c>
      <c r="D10" s="157" t="s">
        <v>181</v>
      </c>
      <c r="E10" s="162">
        <v>83314.02</v>
      </c>
      <c r="F10" s="159">
        <f t="shared" si="0"/>
        <v>55820.39</v>
      </c>
    </row>
    <row r="11" spans="1:6" s="163" customFormat="1">
      <c r="A11" s="220"/>
      <c r="B11" s="221" t="s">
        <v>267</v>
      </c>
      <c r="C11" s="222">
        <v>1.03</v>
      </c>
      <c r="D11" s="157" t="s">
        <v>181</v>
      </c>
      <c r="E11" s="162">
        <v>82096.539999999994</v>
      </c>
      <c r="F11" s="159">
        <f t="shared" si="0"/>
        <v>84559.44</v>
      </c>
    </row>
    <row r="12" spans="1:6" s="163" customFormat="1" ht="47.25" customHeight="1">
      <c r="A12" s="217" t="s">
        <v>277</v>
      </c>
      <c r="B12" s="219" t="s">
        <v>247</v>
      </c>
      <c r="C12" s="162">
        <v>119.89</v>
      </c>
      <c r="D12" s="223" t="s">
        <v>248</v>
      </c>
      <c r="E12" s="162">
        <v>194.5</v>
      </c>
      <c r="F12" s="159">
        <f t="shared" si="0"/>
        <v>23318.61</v>
      </c>
    </row>
    <row r="13" spans="1:6" s="163" customFormat="1" ht="27" customHeight="1">
      <c r="A13" s="169">
        <v>8</v>
      </c>
      <c r="B13" s="170" t="s">
        <v>185</v>
      </c>
      <c r="C13" s="162">
        <v>0</v>
      </c>
      <c r="D13" s="157">
        <v>0</v>
      </c>
      <c r="E13" s="162">
        <v>0</v>
      </c>
      <c r="F13" s="159">
        <f t="shared" si="0"/>
        <v>0</v>
      </c>
    </row>
    <row r="14" spans="1:6" s="163" customFormat="1">
      <c r="A14" s="172" t="s">
        <v>35</v>
      </c>
      <c r="B14" s="173" t="s">
        <v>249</v>
      </c>
      <c r="C14" s="162">
        <v>9.16</v>
      </c>
      <c r="D14" s="162" t="s">
        <v>76</v>
      </c>
      <c r="E14" s="168">
        <f>'[1]RCC DRAIN'!I37</f>
        <v>848.82</v>
      </c>
      <c r="F14" s="159">
        <f t="shared" si="0"/>
        <v>7775.19</v>
      </c>
    </row>
    <row r="15" spans="1:6" s="163" customFormat="1">
      <c r="A15" s="172" t="s">
        <v>37</v>
      </c>
      <c r="B15" s="173" t="s">
        <v>250</v>
      </c>
      <c r="C15" s="162">
        <v>3.04</v>
      </c>
      <c r="D15" s="162" t="s">
        <v>76</v>
      </c>
      <c r="E15" s="168">
        <f>'[1]RCC DRAIN'!I38</f>
        <v>313.14</v>
      </c>
      <c r="F15" s="159">
        <f t="shared" si="0"/>
        <v>951.95</v>
      </c>
    </row>
    <row r="16" spans="1:6" s="163" customFormat="1">
      <c r="A16" s="172" t="s">
        <v>74</v>
      </c>
      <c r="B16" s="174" t="s">
        <v>251</v>
      </c>
      <c r="C16" s="162">
        <v>18.329999999999998</v>
      </c>
      <c r="D16" s="162" t="s">
        <v>76</v>
      </c>
      <c r="E16" s="168">
        <f>'[1]RCC DRAIN'!I39</f>
        <v>447.06</v>
      </c>
      <c r="F16" s="159">
        <f t="shared" si="0"/>
        <v>8194.61</v>
      </c>
    </row>
    <row r="17" spans="1:6" s="163" customFormat="1">
      <c r="A17" s="172" t="s">
        <v>39</v>
      </c>
      <c r="B17" s="174" t="s">
        <v>252</v>
      </c>
      <c r="C17" s="162">
        <v>4.99</v>
      </c>
      <c r="D17" s="162" t="s">
        <v>76</v>
      </c>
      <c r="E17" s="168">
        <f>'[1]RCC DRAIN'!I40</f>
        <v>679.66</v>
      </c>
      <c r="F17" s="159">
        <f t="shared" si="0"/>
        <v>3391.5</v>
      </c>
    </row>
    <row r="18" spans="1:6" s="163" customFormat="1">
      <c r="A18" s="172" t="s">
        <v>41</v>
      </c>
      <c r="B18" s="174" t="s">
        <v>253</v>
      </c>
      <c r="C18" s="162">
        <v>32.51</v>
      </c>
      <c r="D18" s="162" t="s">
        <v>76</v>
      </c>
      <c r="E18" s="168">
        <f>'[1]RCC DRAIN'!I41</f>
        <v>117.54</v>
      </c>
      <c r="F18" s="159">
        <f t="shared" si="0"/>
        <v>3821.23</v>
      </c>
    </row>
    <row r="19" spans="1:6" s="163" customFormat="1">
      <c r="A19" s="175"/>
      <c r="B19" s="176"/>
      <c r="C19" s="177"/>
      <c r="D19" s="178"/>
      <c r="E19" s="178" t="s">
        <v>121</v>
      </c>
      <c r="F19" s="179">
        <f>SUM(F5:F18)</f>
        <v>334321.05</v>
      </c>
    </row>
    <row r="20" spans="1:6" s="163" customFormat="1">
      <c r="A20" s="180"/>
      <c r="B20" s="181"/>
      <c r="C20" s="178"/>
      <c r="D20" s="177"/>
      <c r="E20" s="178" t="s">
        <v>254</v>
      </c>
      <c r="F20" s="179">
        <f>F19*18/100</f>
        <v>60177.788999999997</v>
      </c>
    </row>
    <row r="21" spans="1:6" s="163" customFormat="1">
      <c r="A21" s="180"/>
      <c r="B21" s="181"/>
      <c r="C21" s="178"/>
      <c r="D21" s="178"/>
      <c r="E21" s="178"/>
      <c r="F21" s="179">
        <f>F19+F20</f>
        <v>394498.83899999998</v>
      </c>
    </row>
    <row r="22" spans="1:6" s="163" customFormat="1">
      <c r="A22" s="180"/>
      <c r="B22" s="181"/>
      <c r="C22" s="182"/>
      <c r="D22" s="178"/>
      <c r="E22" s="178" t="s">
        <v>255</v>
      </c>
      <c r="F22" s="179">
        <f>F21*1/100</f>
        <v>3944.98839</v>
      </c>
    </row>
    <row r="23" spans="1:6" s="163" customFormat="1">
      <c r="A23" s="180"/>
      <c r="B23" s="181"/>
      <c r="C23" s="182"/>
      <c r="D23" s="178"/>
      <c r="E23" s="178" t="s">
        <v>121</v>
      </c>
      <c r="F23" s="183">
        <f>F21+F22</f>
        <v>398443.82738999999</v>
      </c>
    </row>
    <row r="24" spans="1:6" s="163" customFormat="1">
      <c r="C24" s="184"/>
      <c r="D24" s="184"/>
      <c r="E24" s="184"/>
      <c r="F24" s="184"/>
    </row>
    <row r="25" spans="1:6" s="163" customFormat="1">
      <c r="C25" s="184"/>
      <c r="D25" s="184"/>
      <c r="E25" s="184"/>
      <c r="F25" s="184"/>
    </row>
    <row r="26" spans="1:6" s="163" customFormat="1">
      <c r="C26" s="184"/>
      <c r="D26" s="184"/>
      <c r="E26" s="184"/>
      <c r="F26" s="184"/>
    </row>
    <row r="27" spans="1:6" s="163" customFormat="1">
      <c r="C27" s="184"/>
      <c r="D27" s="184"/>
      <c r="E27" s="184"/>
      <c r="F27" s="184"/>
    </row>
    <row r="28" spans="1:6" s="163" customFormat="1">
      <c r="C28" s="184"/>
      <c r="D28" s="184"/>
      <c r="E28" s="184"/>
      <c r="F28" s="184"/>
    </row>
    <row r="29" spans="1:6" s="163" customFormat="1">
      <c r="C29" s="184"/>
      <c r="D29" s="184"/>
      <c r="E29" s="184"/>
      <c r="F29" s="184"/>
    </row>
    <row r="30" spans="1:6" s="163" customFormat="1">
      <c r="C30" s="184"/>
      <c r="D30" s="184"/>
      <c r="E30" s="184"/>
      <c r="F30" s="184"/>
    </row>
    <row r="31" spans="1:6" s="163" customFormat="1">
      <c r="C31" s="184"/>
      <c r="D31" s="184"/>
      <c r="E31" s="184"/>
      <c r="F31" s="184"/>
    </row>
    <row r="32" spans="1:6" s="163" customFormat="1">
      <c r="C32" s="184"/>
      <c r="D32" s="184"/>
      <c r="E32" s="184"/>
      <c r="F32" s="184"/>
    </row>
    <row r="33" spans="1:6" s="163" customFormat="1">
      <c r="C33" s="184"/>
      <c r="D33" s="184"/>
      <c r="E33" s="184"/>
      <c r="F33" s="184"/>
    </row>
    <row r="34" spans="1:6" s="163" customFormat="1">
      <c r="C34" s="184"/>
      <c r="D34" s="184"/>
      <c r="E34" s="184"/>
      <c r="F34" s="184"/>
    </row>
    <row r="35" spans="1:6" s="163" customFormat="1">
      <c r="C35" s="184"/>
      <c r="D35" s="184"/>
      <c r="E35" s="184"/>
      <c r="F35" s="184"/>
    </row>
    <row r="36" spans="1:6" s="163" customFormat="1">
      <c r="C36" s="184"/>
      <c r="D36" s="184"/>
      <c r="E36" s="184"/>
      <c r="F36" s="184"/>
    </row>
    <row r="37" spans="1:6" s="163" customFormat="1">
      <c r="C37" s="184"/>
      <c r="D37" s="184"/>
      <c r="E37" s="184"/>
      <c r="F37" s="184"/>
    </row>
    <row r="38" spans="1:6" s="163" customFormat="1">
      <c r="C38" s="184"/>
      <c r="D38" s="184"/>
      <c r="E38" s="184"/>
      <c r="F38" s="184"/>
    </row>
    <row r="39" spans="1:6" s="163" customFormat="1">
      <c r="C39" s="184"/>
      <c r="D39" s="184"/>
      <c r="E39" s="184"/>
      <c r="F39" s="184"/>
    </row>
    <row r="40" spans="1:6" s="163" customFormat="1">
      <c r="C40" s="184"/>
      <c r="D40" s="184"/>
      <c r="E40" s="184"/>
      <c r="F40" s="184"/>
    </row>
    <row r="41" spans="1:6" s="163" customFormat="1">
      <c r="A41"/>
      <c r="B41"/>
      <c r="C41" s="185"/>
      <c r="D41" s="185"/>
      <c r="E41" s="185"/>
      <c r="F41" s="185"/>
    </row>
    <row r="42" spans="1:6">
      <c r="C42" s="185"/>
      <c r="D42" s="185"/>
      <c r="E42" s="185"/>
      <c r="F42" s="185"/>
    </row>
    <row r="43" spans="1:6">
      <c r="C43" s="185"/>
      <c r="D43" s="185"/>
      <c r="E43" s="185"/>
      <c r="F43" s="185"/>
    </row>
    <row r="44" spans="1:6">
      <c r="C44" s="185"/>
      <c r="D44" s="185"/>
      <c r="E44" s="185"/>
      <c r="F44" s="185"/>
    </row>
    <row r="45" spans="1:6">
      <c r="C45" s="185"/>
      <c r="D45" s="185"/>
      <c r="E45" s="185"/>
      <c r="F45" s="185"/>
    </row>
    <row r="46" spans="1:6">
      <c r="C46" s="185"/>
      <c r="D46" s="185"/>
      <c r="E46" s="185"/>
      <c r="F46" s="185"/>
    </row>
    <row r="47" spans="1:6">
      <c r="C47" s="185"/>
      <c r="D47" s="185"/>
      <c r="E47" s="185"/>
      <c r="F47" s="185"/>
    </row>
    <row r="48" spans="1:6">
      <c r="C48" s="185"/>
      <c r="D48" s="185"/>
      <c r="E48" s="185"/>
      <c r="F48" s="185"/>
    </row>
    <row r="49" spans="3:6">
      <c r="C49" s="185"/>
      <c r="D49" s="185"/>
      <c r="E49" s="185"/>
      <c r="F49" s="185"/>
    </row>
    <row r="50" spans="3:6">
      <c r="C50" s="185"/>
      <c r="D50" s="185"/>
      <c r="E50" s="185"/>
      <c r="F50" s="185"/>
    </row>
    <row r="51" spans="3:6">
      <c r="C51" s="185"/>
      <c r="D51" s="185"/>
      <c r="E51" s="185"/>
      <c r="F51" s="185"/>
    </row>
  </sheetData>
  <mergeCells count="3">
    <mergeCell ref="A1:F1"/>
    <mergeCell ref="A2:F2"/>
    <mergeCell ref="A3:F3"/>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42"/>
  <sheetViews>
    <sheetView workbookViewId="0">
      <selection activeCell="B9" sqref="B9"/>
    </sheetView>
  </sheetViews>
  <sheetFormatPr defaultRowHeight="15"/>
  <cols>
    <col min="1" max="1" width="7.7109375" customWidth="1"/>
    <col min="2" max="2" width="50.42578125" customWidth="1"/>
    <col min="3" max="3" width="8.5703125" customWidth="1"/>
    <col min="4" max="4" width="5.140625" bestFit="1" customWidth="1"/>
    <col min="5" max="5" width="10.28515625" customWidth="1"/>
    <col min="6" max="6" width="18.85546875" customWidth="1"/>
  </cols>
  <sheetData>
    <row r="1" spans="1:6" ht="34.5" customHeight="1">
      <c r="A1" s="228" t="s">
        <v>231</v>
      </c>
      <c r="B1" s="228"/>
      <c r="C1" s="228"/>
      <c r="D1" s="228"/>
      <c r="E1" s="228"/>
      <c r="F1" s="228"/>
    </row>
    <row r="2" spans="1:6" ht="18.75" customHeight="1">
      <c r="A2" s="229" t="s">
        <v>1</v>
      </c>
      <c r="B2" s="230"/>
      <c r="C2" s="230"/>
      <c r="D2" s="230"/>
      <c r="E2" s="230"/>
      <c r="F2" s="231"/>
    </row>
    <row r="3" spans="1:6" ht="38.25" customHeight="1">
      <c r="A3" s="232" t="s">
        <v>278</v>
      </c>
      <c r="B3" s="232"/>
      <c r="C3" s="232"/>
      <c r="D3" s="232"/>
      <c r="E3" s="232"/>
      <c r="F3" s="232"/>
    </row>
    <row r="4" spans="1:6" ht="21" customHeight="1">
      <c r="A4" s="152" t="s">
        <v>233</v>
      </c>
      <c r="B4" s="153" t="s">
        <v>234</v>
      </c>
      <c r="C4" s="153" t="s">
        <v>235</v>
      </c>
      <c r="D4" s="153" t="s">
        <v>54</v>
      </c>
      <c r="E4" s="152" t="s">
        <v>236</v>
      </c>
      <c r="F4" s="152" t="s">
        <v>237</v>
      </c>
    </row>
    <row r="5" spans="1:6" s="163" customFormat="1" ht="74.25" customHeight="1">
      <c r="A5" s="164" t="s">
        <v>279</v>
      </c>
      <c r="B5" s="165" t="s">
        <v>245</v>
      </c>
      <c r="C5" s="162">
        <v>50.64</v>
      </c>
      <c r="D5" s="157" t="s">
        <v>76</v>
      </c>
      <c r="E5" s="162">
        <v>4961.7299999999996</v>
      </c>
      <c r="F5" s="159">
        <f t="shared" ref="F5:F9" si="0">SUM((C5*E5),H5)</f>
        <v>251262.00719999999</v>
      </c>
    </row>
    <row r="6" spans="1:6" s="163" customFormat="1" ht="71.25" customHeight="1">
      <c r="A6" s="160" t="s">
        <v>280</v>
      </c>
      <c r="B6" s="161" t="s">
        <v>247</v>
      </c>
      <c r="C6" s="166">
        <v>27.7</v>
      </c>
      <c r="D6" s="167" t="s">
        <v>248</v>
      </c>
      <c r="E6" s="168">
        <v>194.5</v>
      </c>
      <c r="F6" s="159">
        <f t="shared" si="0"/>
        <v>5387.65</v>
      </c>
    </row>
    <row r="7" spans="1:6" s="163" customFormat="1" ht="36.75" customHeight="1">
      <c r="A7" s="169">
        <v>3</v>
      </c>
      <c r="B7" s="170" t="s">
        <v>185</v>
      </c>
      <c r="C7" s="171">
        <v>0</v>
      </c>
      <c r="D7" s="171"/>
      <c r="E7" s="171">
        <v>0</v>
      </c>
      <c r="F7" s="159">
        <f t="shared" si="0"/>
        <v>0</v>
      </c>
    </row>
    <row r="8" spans="1:6" s="163" customFormat="1" ht="31.5" customHeight="1">
      <c r="A8" s="172" t="s">
        <v>35</v>
      </c>
      <c r="B8" s="173" t="s">
        <v>249</v>
      </c>
      <c r="C8" s="162">
        <v>21.77</v>
      </c>
      <c r="D8" s="162" t="s">
        <v>76</v>
      </c>
      <c r="E8" s="168">
        <f>'[1]RCC DRAIN'!I37</f>
        <v>848.82</v>
      </c>
      <c r="F8" s="159">
        <f t="shared" si="0"/>
        <v>18478.811400000002</v>
      </c>
    </row>
    <row r="9" spans="1:6" s="163" customFormat="1" ht="27.75" customHeight="1">
      <c r="A9" s="172" t="s">
        <v>74</v>
      </c>
      <c r="B9" s="174" t="s">
        <v>251</v>
      </c>
      <c r="C9" s="162">
        <v>43.55</v>
      </c>
      <c r="D9" s="162" t="s">
        <v>76</v>
      </c>
      <c r="E9" s="168">
        <f>'[1]RCC DRAIN'!I39</f>
        <v>447.06</v>
      </c>
      <c r="F9" s="159">
        <f t="shared" si="0"/>
        <v>19469.463</v>
      </c>
    </row>
    <row r="10" spans="1:6" s="163" customFormat="1" ht="28.5" customHeight="1">
      <c r="A10" s="175"/>
      <c r="B10" s="176"/>
      <c r="C10" s="177"/>
      <c r="D10" s="178"/>
      <c r="E10" s="178" t="s">
        <v>121</v>
      </c>
      <c r="F10" s="179">
        <f>SUM(F5:F9)</f>
        <v>294597.93159999995</v>
      </c>
    </row>
    <row r="11" spans="1:6" s="163" customFormat="1">
      <c r="A11" s="180"/>
      <c r="B11" s="181"/>
      <c r="C11" s="178"/>
      <c r="D11" s="177"/>
      <c r="E11" s="178" t="s">
        <v>254</v>
      </c>
      <c r="F11" s="179">
        <f>F10*18/100</f>
        <v>53027.627687999986</v>
      </c>
    </row>
    <row r="12" spans="1:6" s="163" customFormat="1">
      <c r="A12" s="180"/>
      <c r="B12" s="181"/>
      <c r="C12" s="178"/>
      <c r="D12" s="178"/>
      <c r="E12" s="178"/>
      <c r="F12" s="179">
        <f>F10+F11</f>
        <v>347625.55928799993</v>
      </c>
    </row>
    <row r="13" spans="1:6" s="163" customFormat="1">
      <c r="A13" s="180"/>
      <c r="B13" s="181"/>
      <c r="C13" s="182"/>
      <c r="D13" s="178"/>
      <c r="E13" s="178" t="s">
        <v>255</v>
      </c>
      <c r="F13" s="179">
        <f>F12*1/100</f>
        <v>3476.2555928799993</v>
      </c>
    </row>
    <row r="14" spans="1:6" s="163" customFormat="1">
      <c r="A14" s="180"/>
      <c r="B14" s="181"/>
      <c r="C14" s="182"/>
      <c r="D14" s="178"/>
      <c r="E14" s="178" t="s">
        <v>121</v>
      </c>
      <c r="F14" s="183">
        <f>F12+F13</f>
        <v>351101.81488087995</v>
      </c>
    </row>
    <row r="15" spans="1:6" s="163" customFormat="1">
      <c r="C15" s="184"/>
      <c r="D15" s="184"/>
      <c r="E15" s="184"/>
      <c r="F15" s="184"/>
    </row>
    <row r="16" spans="1:6" s="163" customFormat="1">
      <c r="C16" s="184"/>
      <c r="D16" s="184"/>
      <c r="E16" s="184"/>
      <c r="F16" s="184"/>
    </row>
    <row r="17" spans="1:6" s="163" customFormat="1">
      <c r="C17" s="184"/>
      <c r="D17" s="184"/>
      <c r="E17" s="184"/>
      <c r="F17" s="184"/>
    </row>
    <row r="18" spans="1:6" s="163" customFormat="1">
      <c r="C18" s="184"/>
      <c r="D18" s="184"/>
      <c r="E18" s="184"/>
      <c r="F18" s="184"/>
    </row>
    <row r="19" spans="1:6" s="163" customFormat="1">
      <c r="C19" s="184"/>
      <c r="D19" s="184"/>
      <c r="E19" s="184"/>
      <c r="F19" s="184"/>
    </row>
    <row r="20" spans="1:6" s="163" customFormat="1">
      <c r="C20" s="184"/>
      <c r="D20" s="184"/>
      <c r="E20" s="184"/>
      <c r="F20" s="184"/>
    </row>
    <row r="21" spans="1:6" s="163" customFormat="1">
      <c r="C21" s="184"/>
      <c r="D21" s="184"/>
      <c r="E21" s="184"/>
      <c r="F21" s="184"/>
    </row>
    <row r="22" spans="1:6" s="163" customFormat="1">
      <c r="C22" s="184"/>
      <c r="D22" s="184"/>
      <c r="E22" s="184"/>
      <c r="F22" s="184"/>
    </row>
    <row r="23" spans="1:6" s="163" customFormat="1">
      <c r="C23" s="184"/>
      <c r="D23" s="184"/>
      <c r="E23" s="184"/>
      <c r="F23" s="184"/>
    </row>
    <row r="24" spans="1:6" s="163" customFormat="1">
      <c r="C24" s="184"/>
      <c r="D24" s="184"/>
      <c r="E24" s="184"/>
      <c r="F24" s="184"/>
    </row>
    <row r="25" spans="1:6" s="163" customFormat="1">
      <c r="C25" s="184"/>
      <c r="D25" s="184"/>
      <c r="E25" s="184"/>
      <c r="F25" s="184"/>
    </row>
    <row r="26" spans="1:6" s="163" customFormat="1">
      <c r="C26" s="184"/>
      <c r="D26" s="184"/>
      <c r="E26" s="184"/>
      <c r="F26" s="184"/>
    </row>
    <row r="27" spans="1:6" s="163" customFormat="1">
      <c r="C27" s="184"/>
      <c r="D27" s="184"/>
      <c r="E27" s="184"/>
      <c r="F27" s="184"/>
    </row>
    <row r="28" spans="1:6" s="163" customFormat="1">
      <c r="C28" s="184"/>
      <c r="D28" s="184"/>
      <c r="E28" s="184"/>
      <c r="F28" s="184"/>
    </row>
    <row r="29" spans="1:6" s="163" customFormat="1">
      <c r="C29" s="184"/>
      <c r="D29" s="184"/>
      <c r="E29" s="184"/>
      <c r="F29" s="184"/>
    </row>
    <row r="30" spans="1:6" s="163" customFormat="1">
      <c r="C30" s="184"/>
      <c r="D30" s="184"/>
      <c r="E30" s="184"/>
      <c r="F30" s="184"/>
    </row>
    <row r="31" spans="1:6" s="163" customFormat="1">
      <c r="C31" s="184"/>
      <c r="D31" s="184"/>
      <c r="E31" s="184"/>
      <c r="F31" s="184"/>
    </row>
    <row r="32" spans="1:6" s="163" customFormat="1">
      <c r="A32"/>
      <c r="B32"/>
      <c r="C32" s="185"/>
      <c r="D32" s="185"/>
      <c r="E32" s="185"/>
      <c r="F32" s="185"/>
    </row>
    <row r="33" spans="3:6">
      <c r="C33" s="185"/>
      <c r="D33" s="185"/>
      <c r="E33" s="185"/>
      <c r="F33" s="185"/>
    </row>
    <row r="34" spans="3:6">
      <c r="C34" s="185"/>
      <c r="D34" s="185"/>
      <c r="E34" s="185"/>
      <c r="F34" s="185"/>
    </row>
    <row r="35" spans="3:6">
      <c r="C35" s="185"/>
      <c r="D35" s="185"/>
      <c r="E35" s="185"/>
      <c r="F35" s="185"/>
    </row>
    <row r="36" spans="3:6">
      <c r="C36" s="185"/>
      <c r="D36" s="185"/>
      <c r="E36" s="185"/>
      <c r="F36" s="185"/>
    </row>
    <row r="37" spans="3:6">
      <c r="C37" s="185"/>
      <c r="D37" s="185"/>
      <c r="E37" s="185"/>
      <c r="F37" s="185"/>
    </row>
    <row r="38" spans="3:6">
      <c r="C38" s="185"/>
      <c r="D38" s="185"/>
      <c r="E38" s="185"/>
      <c r="F38" s="185"/>
    </row>
    <row r="39" spans="3:6">
      <c r="C39" s="185"/>
      <c r="D39" s="185"/>
      <c r="E39" s="185"/>
      <c r="F39" s="185"/>
    </row>
    <row r="40" spans="3:6">
      <c r="C40" s="185"/>
      <c r="D40" s="185"/>
      <c r="E40" s="185"/>
      <c r="F40" s="185"/>
    </row>
    <row r="41" spans="3:6">
      <c r="C41" s="185"/>
      <c r="D41" s="185"/>
      <c r="E41" s="185"/>
      <c r="F41" s="185"/>
    </row>
    <row r="42" spans="3:6">
      <c r="C42" s="185"/>
      <c r="D42" s="185"/>
      <c r="E42" s="185"/>
      <c r="F42" s="185"/>
    </row>
  </sheetData>
  <mergeCells count="3">
    <mergeCell ref="A1:F1"/>
    <mergeCell ref="A2:F2"/>
    <mergeCell ref="A3:F3"/>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F51"/>
  <sheetViews>
    <sheetView workbookViewId="0">
      <selection activeCell="A3" sqref="A3:F3"/>
    </sheetView>
  </sheetViews>
  <sheetFormatPr defaultRowHeight="15"/>
  <cols>
    <col min="1" max="1" width="7.7109375" customWidth="1"/>
    <col min="2" max="2" width="50.42578125" customWidth="1"/>
    <col min="3" max="3" width="8.5703125" customWidth="1"/>
    <col min="4" max="4" width="5.140625" bestFit="1" customWidth="1"/>
    <col min="5" max="5" width="10.28515625" customWidth="1"/>
    <col min="6" max="6" width="18.85546875" customWidth="1"/>
  </cols>
  <sheetData>
    <row r="1" spans="1:6" ht="15.75">
      <c r="A1" s="228" t="s">
        <v>231</v>
      </c>
      <c r="B1" s="228"/>
      <c r="C1" s="228"/>
      <c r="D1" s="228"/>
      <c r="E1" s="228"/>
      <c r="F1" s="228"/>
    </row>
    <row r="2" spans="1:6" ht="15.75">
      <c r="A2" s="229" t="s">
        <v>1</v>
      </c>
      <c r="B2" s="230"/>
      <c r="C2" s="230"/>
      <c r="D2" s="230"/>
      <c r="E2" s="230"/>
      <c r="F2" s="231"/>
    </row>
    <row r="3" spans="1:6" ht="30.75" customHeight="1">
      <c r="A3" s="236" t="s">
        <v>281</v>
      </c>
      <c r="B3" s="236"/>
      <c r="C3" s="236"/>
      <c r="D3" s="236"/>
      <c r="E3" s="236"/>
      <c r="F3" s="236"/>
    </row>
    <row r="4" spans="1:6">
      <c r="A4" s="152" t="s">
        <v>233</v>
      </c>
      <c r="B4" s="153" t="s">
        <v>234</v>
      </c>
      <c r="C4" s="153" t="s">
        <v>235</v>
      </c>
      <c r="D4" s="153" t="s">
        <v>54</v>
      </c>
      <c r="E4" s="152" t="s">
        <v>236</v>
      </c>
      <c r="F4" s="152" t="s">
        <v>237</v>
      </c>
    </row>
    <row r="5" spans="1:6" s="87" customFormat="1" ht="72">
      <c r="A5" s="154" t="s">
        <v>238</v>
      </c>
      <c r="B5" s="155" t="s">
        <v>239</v>
      </c>
      <c r="C5" s="156">
        <v>55.2</v>
      </c>
      <c r="D5" s="157" t="s">
        <v>76</v>
      </c>
      <c r="E5" s="158">
        <v>151.82</v>
      </c>
      <c r="F5" s="159">
        <f>ROUND((C5*E5),2)</f>
        <v>8380.4599999999991</v>
      </c>
    </row>
    <row r="6" spans="1:6" ht="72">
      <c r="A6" s="160" t="s">
        <v>240</v>
      </c>
      <c r="B6" s="161" t="s">
        <v>241</v>
      </c>
      <c r="C6" s="162">
        <v>5.17</v>
      </c>
      <c r="D6" s="157" t="s">
        <v>76</v>
      </c>
      <c r="E6" s="162">
        <v>589.51</v>
      </c>
      <c r="F6" s="159">
        <f t="shared" ref="F6:F18" si="0">ROUND((C6*E6),2)</f>
        <v>3047.77</v>
      </c>
    </row>
    <row r="7" spans="1:6" s="163" customFormat="1" ht="60">
      <c r="A7" s="160" t="s">
        <v>242</v>
      </c>
      <c r="B7" s="161" t="s">
        <v>243</v>
      </c>
      <c r="C7" s="162">
        <v>8.48</v>
      </c>
      <c r="D7" s="157" t="s">
        <v>76</v>
      </c>
      <c r="E7" s="162">
        <v>1756.4</v>
      </c>
      <c r="F7" s="159">
        <f t="shared" si="0"/>
        <v>14894.27</v>
      </c>
    </row>
    <row r="8" spans="1:6" s="163" customFormat="1" ht="67.5">
      <c r="A8" s="217" t="s">
        <v>272</v>
      </c>
      <c r="B8" s="218" t="s">
        <v>273</v>
      </c>
      <c r="C8" s="162">
        <v>25.84</v>
      </c>
      <c r="D8" s="157" t="s">
        <v>76</v>
      </c>
      <c r="E8" s="162">
        <v>6082.45</v>
      </c>
      <c r="F8" s="159">
        <f t="shared" si="0"/>
        <v>157170.51</v>
      </c>
    </row>
    <row r="9" spans="1:6" s="163" customFormat="1" ht="78.75">
      <c r="A9" s="217" t="s">
        <v>274</v>
      </c>
      <c r="B9" s="219" t="s">
        <v>275</v>
      </c>
      <c r="C9" s="162">
        <v>10.34</v>
      </c>
      <c r="D9" s="157" t="s">
        <v>76</v>
      </c>
      <c r="E9" s="162">
        <v>6308.87</v>
      </c>
      <c r="F9" s="159">
        <f t="shared" si="0"/>
        <v>65233.72</v>
      </c>
    </row>
    <row r="10" spans="1:6" s="163" customFormat="1" ht="78.75">
      <c r="A10" s="220">
        <v>6</v>
      </c>
      <c r="B10" s="221" t="s">
        <v>276</v>
      </c>
      <c r="C10" s="222">
        <v>1.1499999999999999</v>
      </c>
      <c r="D10" s="157" t="s">
        <v>181</v>
      </c>
      <c r="E10" s="162">
        <v>83314.02</v>
      </c>
      <c r="F10" s="159">
        <f t="shared" si="0"/>
        <v>95811.12</v>
      </c>
    </row>
    <row r="11" spans="1:6" s="163" customFormat="1">
      <c r="A11" s="220"/>
      <c r="B11" s="221" t="s">
        <v>267</v>
      </c>
      <c r="C11" s="222">
        <v>1.7569999999999999</v>
      </c>
      <c r="D11" s="157" t="s">
        <v>181</v>
      </c>
      <c r="E11" s="162">
        <v>82096.539999999994</v>
      </c>
      <c r="F11" s="159">
        <f t="shared" si="0"/>
        <v>144243.62</v>
      </c>
    </row>
    <row r="12" spans="1:6" s="163" customFormat="1" ht="33.75">
      <c r="A12" s="217" t="s">
        <v>277</v>
      </c>
      <c r="B12" s="219" t="s">
        <v>247</v>
      </c>
      <c r="C12" s="162">
        <v>203.53</v>
      </c>
      <c r="D12" s="223" t="s">
        <v>248</v>
      </c>
      <c r="E12" s="162">
        <v>194.5</v>
      </c>
      <c r="F12" s="159">
        <f t="shared" si="0"/>
        <v>39586.589999999997</v>
      </c>
    </row>
    <row r="13" spans="1:6" s="163" customFormat="1">
      <c r="A13" s="169">
        <v>8</v>
      </c>
      <c r="B13" s="170" t="s">
        <v>185</v>
      </c>
      <c r="C13" s="162">
        <v>0</v>
      </c>
      <c r="D13" s="157">
        <v>0</v>
      </c>
      <c r="E13" s="162">
        <v>0</v>
      </c>
      <c r="F13" s="159">
        <f t="shared" si="0"/>
        <v>0</v>
      </c>
    </row>
    <row r="14" spans="1:6" s="163" customFormat="1">
      <c r="A14" s="172" t="s">
        <v>35</v>
      </c>
      <c r="B14" s="173" t="s">
        <v>249</v>
      </c>
      <c r="C14" s="162">
        <v>15.56</v>
      </c>
      <c r="D14" s="162" t="s">
        <v>76</v>
      </c>
      <c r="E14" s="168">
        <f>'[1]RCC DRAIN'!I37</f>
        <v>848.82</v>
      </c>
      <c r="F14" s="159">
        <f t="shared" si="0"/>
        <v>13207.64</v>
      </c>
    </row>
    <row r="15" spans="1:6" s="163" customFormat="1">
      <c r="A15" s="172" t="s">
        <v>37</v>
      </c>
      <c r="B15" s="173" t="s">
        <v>250</v>
      </c>
      <c r="C15" s="162">
        <v>5.17</v>
      </c>
      <c r="D15" s="162" t="s">
        <v>76</v>
      </c>
      <c r="E15" s="168">
        <f>'[1]RCC DRAIN'!I38</f>
        <v>313.14</v>
      </c>
      <c r="F15" s="159">
        <f t="shared" si="0"/>
        <v>1618.93</v>
      </c>
    </row>
    <row r="16" spans="1:6" s="163" customFormat="1">
      <c r="A16" s="172" t="s">
        <v>74</v>
      </c>
      <c r="B16" s="174" t="s">
        <v>251</v>
      </c>
      <c r="C16" s="162">
        <v>31.11</v>
      </c>
      <c r="D16" s="162" t="s">
        <v>76</v>
      </c>
      <c r="E16" s="168">
        <f>'[1]RCC DRAIN'!I39</f>
        <v>447.06</v>
      </c>
      <c r="F16" s="159">
        <f t="shared" si="0"/>
        <v>13908.04</v>
      </c>
    </row>
    <row r="17" spans="1:6" s="163" customFormat="1">
      <c r="A17" s="172" t="s">
        <v>39</v>
      </c>
      <c r="B17" s="174" t="s">
        <v>252</v>
      </c>
      <c r="C17" s="162">
        <v>8.48</v>
      </c>
      <c r="D17" s="162" t="s">
        <v>76</v>
      </c>
      <c r="E17" s="168">
        <f>'[1]RCC DRAIN'!I40</f>
        <v>679.66</v>
      </c>
      <c r="F17" s="159">
        <f t="shared" si="0"/>
        <v>5763.52</v>
      </c>
    </row>
    <row r="18" spans="1:6" s="163" customFormat="1">
      <c r="A18" s="172" t="s">
        <v>41</v>
      </c>
      <c r="B18" s="174" t="s">
        <v>253</v>
      </c>
      <c r="C18" s="162">
        <v>55.2</v>
      </c>
      <c r="D18" s="162" t="s">
        <v>76</v>
      </c>
      <c r="E18" s="168">
        <f>'[1]RCC DRAIN'!I41</f>
        <v>117.54</v>
      </c>
      <c r="F18" s="159">
        <f t="shared" si="0"/>
        <v>6488.21</v>
      </c>
    </row>
    <row r="19" spans="1:6" s="163" customFormat="1" ht="12.75" customHeight="1">
      <c r="A19" s="175"/>
      <c r="B19" s="176"/>
      <c r="C19" s="177"/>
      <c r="D19" s="178"/>
      <c r="E19" s="178" t="s">
        <v>121</v>
      </c>
      <c r="F19" s="179">
        <f>SUM(F5:F18)</f>
        <v>569354.4</v>
      </c>
    </row>
    <row r="20" spans="1:6" s="163" customFormat="1" ht="12.75" customHeight="1">
      <c r="A20" s="180"/>
      <c r="B20" s="181"/>
      <c r="C20" s="178"/>
      <c r="D20" s="177"/>
      <c r="E20" s="178" t="s">
        <v>254</v>
      </c>
      <c r="F20" s="179">
        <f>F19*18/100</f>
        <v>102483.79200000002</v>
      </c>
    </row>
    <row r="21" spans="1:6" s="163" customFormat="1" ht="12" customHeight="1">
      <c r="A21" s="180"/>
      <c r="B21" s="181"/>
      <c r="C21" s="178"/>
      <c r="D21" s="178"/>
      <c r="E21" s="178"/>
      <c r="F21" s="179">
        <f>F19+F20</f>
        <v>671838.19200000004</v>
      </c>
    </row>
    <row r="22" spans="1:6" s="163" customFormat="1" ht="12.75" customHeight="1">
      <c r="A22" s="180"/>
      <c r="B22" s="181"/>
      <c r="C22" s="182"/>
      <c r="D22" s="178"/>
      <c r="E22" s="178" t="s">
        <v>255</v>
      </c>
      <c r="F22" s="179">
        <f>F21*1/100</f>
        <v>6718.3819200000007</v>
      </c>
    </row>
    <row r="23" spans="1:6" s="163" customFormat="1" ht="12.75" customHeight="1">
      <c r="A23" s="180"/>
      <c r="B23" s="181"/>
      <c r="C23" s="182"/>
      <c r="D23" s="178"/>
      <c r="E23" s="178" t="s">
        <v>121</v>
      </c>
      <c r="F23" s="183">
        <f>F21+F22</f>
        <v>678556.57392</v>
      </c>
    </row>
    <row r="24" spans="1:6" s="163" customFormat="1">
      <c r="C24" s="184"/>
      <c r="D24" s="184"/>
      <c r="E24" s="184"/>
      <c r="F24" s="184"/>
    </row>
    <row r="25" spans="1:6" s="163" customFormat="1">
      <c r="C25" s="184"/>
      <c r="D25" s="184"/>
      <c r="E25" s="184"/>
      <c r="F25" s="184"/>
    </row>
    <row r="26" spans="1:6" s="163" customFormat="1">
      <c r="C26" s="184"/>
      <c r="D26" s="184"/>
      <c r="E26" s="184"/>
      <c r="F26" s="184"/>
    </row>
    <row r="27" spans="1:6" s="163" customFormat="1">
      <c r="C27" s="184"/>
      <c r="D27" s="184"/>
      <c r="E27" s="184"/>
      <c r="F27" s="184"/>
    </row>
    <row r="28" spans="1:6" s="163" customFormat="1">
      <c r="C28" s="184"/>
      <c r="D28" s="184"/>
      <c r="E28" s="184"/>
      <c r="F28" s="184"/>
    </row>
    <row r="29" spans="1:6" s="163" customFormat="1">
      <c r="C29" s="184"/>
      <c r="D29" s="184"/>
      <c r="E29" s="184"/>
      <c r="F29" s="184"/>
    </row>
    <row r="30" spans="1:6" s="163" customFormat="1">
      <c r="C30" s="184"/>
      <c r="D30" s="184"/>
      <c r="E30" s="184"/>
      <c r="F30" s="184"/>
    </row>
    <row r="31" spans="1:6" s="163" customFormat="1">
      <c r="C31" s="184"/>
      <c r="D31" s="184"/>
      <c r="E31" s="184"/>
      <c r="F31" s="184"/>
    </row>
    <row r="32" spans="1:6" s="163" customFormat="1">
      <c r="C32" s="184"/>
      <c r="D32" s="184"/>
      <c r="E32" s="184"/>
      <c r="F32" s="184"/>
    </row>
    <row r="33" spans="1:6" s="163" customFormat="1">
      <c r="C33" s="184"/>
      <c r="D33" s="184"/>
      <c r="E33" s="184"/>
      <c r="F33" s="184"/>
    </row>
    <row r="34" spans="1:6" s="163" customFormat="1">
      <c r="C34" s="184"/>
      <c r="D34" s="184"/>
      <c r="E34" s="184"/>
      <c r="F34" s="184"/>
    </row>
    <row r="35" spans="1:6" s="163" customFormat="1">
      <c r="C35" s="184"/>
      <c r="D35" s="184"/>
      <c r="E35" s="184"/>
      <c r="F35" s="184"/>
    </row>
    <row r="36" spans="1:6" s="163" customFormat="1">
      <c r="C36" s="184"/>
      <c r="D36" s="184"/>
      <c r="E36" s="184"/>
      <c r="F36" s="184"/>
    </row>
    <row r="37" spans="1:6" s="163" customFormat="1">
      <c r="C37" s="184"/>
      <c r="D37" s="184"/>
      <c r="E37" s="184"/>
      <c r="F37" s="184"/>
    </row>
    <row r="38" spans="1:6" s="163" customFormat="1">
      <c r="C38" s="184"/>
      <c r="D38" s="184"/>
      <c r="E38" s="184"/>
      <c r="F38" s="184"/>
    </row>
    <row r="39" spans="1:6" s="163" customFormat="1">
      <c r="C39" s="184"/>
      <c r="D39" s="184"/>
      <c r="E39" s="184"/>
      <c r="F39" s="184"/>
    </row>
    <row r="40" spans="1:6" s="163" customFormat="1">
      <c r="C40" s="184"/>
      <c r="D40" s="184"/>
      <c r="E40" s="184"/>
      <c r="F40" s="184"/>
    </row>
    <row r="41" spans="1:6" s="163" customFormat="1">
      <c r="A41"/>
      <c r="B41"/>
      <c r="C41" s="185"/>
      <c r="D41" s="185"/>
      <c r="E41" s="185"/>
      <c r="F41" s="185"/>
    </row>
    <row r="42" spans="1:6">
      <c r="C42" s="185"/>
      <c r="D42" s="185"/>
      <c r="E42" s="185"/>
      <c r="F42" s="185"/>
    </row>
    <row r="43" spans="1:6">
      <c r="C43" s="185"/>
      <c r="D43" s="185"/>
      <c r="E43" s="185"/>
      <c r="F43" s="185"/>
    </row>
    <row r="44" spans="1:6">
      <c r="C44" s="185"/>
      <c r="D44" s="185"/>
      <c r="E44" s="185"/>
      <c r="F44" s="185"/>
    </row>
    <row r="45" spans="1:6">
      <c r="C45" s="185"/>
      <c r="D45" s="185"/>
      <c r="E45" s="185"/>
      <c r="F45" s="185"/>
    </row>
    <row r="46" spans="1:6">
      <c r="C46" s="185"/>
      <c r="D46" s="185"/>
      <c r="E46" s="185"/>
      <c r="F46" s="185"/>
    </row>
    <row r="47" spans="1:6">
      <c r="C47" s="185"/>
      <c r="D47" s="185"/>
      <c r="E47" s="185"/>
      <c r="F47" s="185"/>
    </row>
    <row r="48" spans="1:6">
      <c r="C48" s="185"/>
      <c r="D48" s="185"/>
      <c r="E48" s="185"/>
      <c r="F48" s="185"/>
    </row>
    <row r="49" spans="3:6">
      <c r="C49" s="185"/>
      <c r="D49" s="185"/>
      <c r="E49" s="185"/>
      <c r="F49" s="185"/>
    </row>
    <row r="50" spans="3:6">
      <c r="C50" s="185"/>
      <c r="D50" s="185"/>
      <c r="E50" s="185"/>
      <c r="F50" s="185"/>
    </row>
    <row r="51" spans="3:6">
      <c r="C51" s="185"/>
      <c r="D51" s="185"/>
      <c r="E51" s="185"/>
      <c r="F51" s="185"/>
    </row>
  </sheetData>
  <mergeCells count="3">
    <mergeCell ref="A1:F1"/>
    <mergeCell ref="A2:F2"/>
    <mergeCell ref="A3:F3"/>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F51"/>
  <sheetViews>
    <sheetView workbookViewId="0">
      <selection activeCell="A3" sqref="A3:F3"/>
    </sheetView>
  </sheetViews>
  <sheetFormatPr defaultRowHeight="15"/>
  <cols>
    <col min="1" max="1" width="7.7109375" customWidth="1"/>
    <col min="2" max="2" width="50.42578125" customWidth="1"/>
    <col min="3" max="3" width="8.5703125" customWidth="1"/>
    <col min="4" max="4" width="5.140625" bestFit="1" customWidth="1"/>
    <col min="5" max="5" width="10.28515625" customWidth="1"/>
    <col min="6" max="6" width="18.85546875" customWidth="1"/>
  </cols>
  <sheetData>
    <row r="1" spans="1:6" ht="34.5" customHeight="1">
      <c r="A1" s="228" t="s">
        <v>231</v>
      </c>
      <c r="B1" s="228"/>
      <c r="C1" s="228"/>
      <c r="D1" s="228"/>
      <c r="E1" s="228"/>
      <c r="F1" s="228"/>
    </row>
    <row r="2" spans="1:6" ht="18.75" customHeight="1">
      <c r="A2" s="229" t="s">
        <v>1</v>
      </c>
      <c r="B2" s="230"/>
      <c r="C2" s="230"/>
      <c r="D2" s="230"/>
      <c r="E2" s="230"/>
      <c r="F2" s="231"/>
    </row>
    <row r="3" spans="1:6" ht="38.25" customHeight="1">
      <c r="A3" s="232" t="s">
        <v>282</v>
      </c>
      <c r="B3" s="232"/>
      <c r="C3" s="232"/>
      <c r="D3" s="232"/>
      <c r="E3" s="232"/>
      <c r="F3" s="232"/>
    </row>
    <row r="4" spans="1:6" ht="21" customHeight="1">
      <c r="A4" s="152" t="s">
        <v>233</v>
      </c>
      <c r="B4" s="153" t="s">
        <v>234</v>
      </c>
      <c r="C4" s="153" t="s">
        <v>235</v>
      </c>
      <c r="D4" s="153" t="s">
        <v>54</v>
      </c>
      <c r="E4" s="152" t="s">
        <v>236</v>
      </c>
      <c r="F4" s="152" t="s">
        <v>237</v>
      </c>
    </row>
    <row r="5" spans="1:6" s="87" customFormat="1" ht="96.75" customHeight="1">
      <c r="A5" s="154" t="s">
        <v>238</v>
      </c>
      <c r="B5" s="155" t="s">
        <v>239</v>
      </c>
      <c r="C5" s="156">
        <v>40.08</v>
      </c>
      <c r="D5" s="157" t="s">
        <v>76</v>
      </c>
      <c r="E5" s="158">
        <v>151.82</v>
      </c>
      <c r="F5" s="159">
        <f>ROUND((C5*E5),2)</f>
        <v>6084.95</v>
      </c>
    </row>
    <row r="6" spans="1:6" ht="98.25" customHeight="1">
      <c r="A6" s="160" t="s">
        <v>240</v>
      </c>
      <c r="B6" s="161" t="s">
        <v>241</v>
      </c>
      <c r="C6" s="162">
        <v>3.75</v>
      </c>
      <c r="D6" s="157" t="s">
        <v>76</v>
      </c>
      <c r="E6" s="162">
        <v>589.51</v>
      </c>
      <c r="F6" s="159">
        <f t="shared" ref="F6:F18" si="0">ROUND((C6*E6),2)</f>
        <v>2210.66</v>
      </c>
    </row>
    <row r="7" spans="1:6" s="163" customFormat="1" ht="77.25" customHeight="1">
      <c r="A7" s="160" t="s">
        <v>242</v>
      </c>
      <c r="B7" s="161" t="s">
        <v>243</v>
      </c>
      <c r="C7" s="162">
        <v>6.15</v>
      </c>
      <c r="D7" s="157" t="s">
        <v>76</v>
      </c>
      <c r="E7" s="162">
        <v>1756.4</v>
      </c>
      <c r="F7" s="159">
        <f t="shared" si="0"/>
        <v>10801.86</v>
      </c>
    </row>
    <row r="8" spans="1:6" s="163" customFormat="1" ht="77.25" customHeight="1">
      <c r="A8" s="217" t="s">
        <v>272</v>
      </c>
      <c r="B8" s="218" t="s">
        <v>273</v>
      </c>
      <c r="C8" s="162">
        <v>18.760000000000002</v>
      </c>
      <c r="D8" s="157" t="s">
        <v>76</v>
      </c>
      <c r="E8" s="162">
        <v>6082.45</v>
      </c>
      <c r="F8" s="159">
        <f t="shared" si="0"/>
        <v>114106.76</v>
      </c>
    </row>
    <row r="9" spans="1:6" s="163" customFormat="1" ht="77.25" customHeight="1">
      <c r="A9" s="217" t="s">
        <v>274</v>
      </c>
      <c r="B9" s="219" t="s">
        <v>275</v>
      </c>
      <c r="C9" s="162">
        <v>7.5</v>
      </c>
      <c r="D9" s="157" t="s">
        <v>76</v>
      </c>
      <c r="E9" s="162">
        <v>6308.87</v>
      </c>
      <c r="F9" s="159">
        <f t="shared" si="0"/>
        <v>47316.53</v>
      </c>
    </row>
    <row r="10" spans="1:6" s="163" customFormat="1" ht="77.25" customHeight="1">
      <c r="A10" s="220">
        <v>6</v>
      </c>
      <c r="B10" s="221" t="s">
        <v>276</v>
      </c>
      <c r="C10" s="222">
        <v>0.83499999999999996</v>
      </c>
      <c r="D10" s="157" t="s">
        <v>181</v>
      </c>
      <c r="E10" s="162">
        <v>83314.02</v>
      </c>
      <c r="F10" s="159">
        <f t="shared" si="0"/>
        <v>69567.210000000006</v>
      </c>
    </row>
    <row r="11" spans="1:6" s="163" customFormat="1" ht="28.5" customHeight="1">
      <c r="A11" s="220"/>
      <c r="B11" s="221" t="s">
        <v>267</v>
      </c>
      <c r="C11" s="162">
        <v>1.2749999999999999</v>
      </c>
      <c r="D11" s="157" t="s">
        <v>181</v>
      </c>
      <c r="E11" s="162">
        <v>82096.539999999994</v>
      </c>
      <c r="F11" s="159">
        <f t="shared" si="0"/>
        <v>104673.09</v>
      </c>
    </row>
    <row r="12" spans="1:6" s="163" customFormat="1" ht="77.25" customHeight="1">
      <c r="A12" s="217" t="s">
        <v>277</v>
      </c>
      <c r="B12" s="219" t="s">
        <v>247</v>
      </c>
      <c r="C12" s="162">
        <v>147.77000000000001</v>
      </c>
      <c r="D12" s="223" t="s">
        <v>248</v>
      </c>
      <c r="E12" s="162">
        <v>194.5</v>
      </c>
      <c r="F12" s="159">
        <f t="shared" si="0"/>
        <v>28741.27</v>
      </c>
    </row>
    <row r="13" spans="1:6" s="163" customFormat="1" ht="36.75" customHeight="1">
      <c r="A13" s="169">
        <v>8</v>
      </c>
      <c r="B13" s="170" t="s">
        <v>185</v>
      </c>
      <c r="C13" s="162">
        <v>0</v>
      </c>
      <c r="D13" s="157">
        <v>0</v>
      </c>
      <c r="E13" s="162">
        <v>0</v>
      </c>
      <c r="F13" s="159">
        <f t="shared" si="0"/>
        <v>0</v>
      </c>
    </row>
    <row r="14" spans="1:6" s="163" customFormat="1" ht="31.5" customHeight="1">
      <c r="A14" s="172" t="s">
        <v>35</v>
      </c>
      <c r="B14" s="173" t="s">
        <v>249</v>
      </c>
      <c r="C14" s="162">
        <v>11.29</v>
      </c>
      <c r="D14" s="162" t="s">
        <v>76</v>
      </c>
      <c r="E14" s="168">
        <f>'[1]RCC DRAIN'!I37</f>
        <v>848.82</v>
      </c>
      <c r="F14" s="159">
        <f t="shared" si="0"/>
        <v>9583.18</v>
      </c>
    </row>
    <row r="15" spans="1:6" s="163" customFormat="1" ht="30" customHeight="1">
      <c r="A15" s="172" t="s">
        <v>37</v>
      </c>
      <c r="B15" s="173" t="s">
        <v>250</v>
      </c>
      <c r="C15" s="162">
        <v>3.75</v>
      </c>
      <c r="D15" s="162" t="s">
        <v>76</v>
      </c>
      <c r="E15" s="168">
        <f>'[1]RCC DRAIN'!I38</f>
        <v>313.14</v>
      </c>
      <c r="F15" s="159">
        <f t="shared" si="0"/>
        <v>1174.28</v>
      </c>
    </row>
    <row r="16" spans="1:6" s="163" customFormat="1" ht="27.75" customHeight="1">
      <c r="A16" s="172" t="s">
        <v>74</v>
      </c>
      <c r="B16" s="174" t="s">
        <v>251</v>
      </c>
      <c r="C16" s="162">
        <v>22.58</v>
      </c>
      <c r="D16" s="162" t="s">
        <v>76</v>
      </c>
      <c r="E16" s="168">
        <f>'[1]RCC DRAIN'!I39</f>
        <v>447.06</v>
      </c>
      <c r="F16" s="159">
        <f t="shared" si="0"/>
        <v>10094.61</v>
      </c>
    </row>
    <row r="17" spans="1:6" s="163" customFormat="1" ht="30" customHeight="1">
      <c r="A17" s="172" t="s">
        <v>39</v>
      </c>
      <c r="B17" s="174" t="s">
        <v>252</v>
      </c>
      <c r="C17" s="162">
        <v>6.15</v>
      </c>
      <c r="D17" s="162" t="s">
        <v>76</v>
      </c>
      <c r="E17" s="168">
        <f>'[1]RCC DRAIN'!I40</f>
        <v>679.66</v>
      </c>
      <c r="F17" s="159">
        <f t="shared" si="0"/>
        <v>4179.91</v>
      </c>
    </row>
    <row r="18" spans="1:6" s="163" customFormat="1" ht="29.25" customHeight="1">
      <c r="A18" s="172" t="s">
        <v>41</v>
      </c>
      <c r="B18" s="174" t="s">
        <v>253</v>
      </c>
      <c r="C18" s="162">
        <v>40.08</v>
      </c>
      <c r="D18" s="162" t="s">
        <v>76</v>
      </c>
      <c r="E18" s="168">
        <f>'[1]RCC DRAIN'!I41</f>
        <v>117.54</v>
      </c>
      <c r="F18" s="159">
        <f t="shared" si="0"/>
        <v>4711</v>
      </c>
    </row>
    <row r="19" spans="1:6" s="163" customFormat="1" ht="28.5" customHeight="1">
      <c r="A19" s="175"/>
      <c r="B19" s="176"/>
      <c r="C19" s="177"/>
      <c r="D19" s="178"/>
      <c r="E19" s="178" t="s">
        <v>121</v>
      </c>
      <c r="F19" s="179">
        <f>SUM(F5:F18)</f>
        <v>413245.30999999994</v>
      </c>
    </row>
    <row r="20" spans="1:6" s="163" customFormat="1" ht="28.5" customHeight="1">
      <c r="A20" s="180"/>
      <c r="B20" s="181"/>
      <c r="C20" s="178"/>
      <c r="D20" s="177"/>
      <c r="E20" s="178" t="s">
        <v>254</v>
      </c>
      <c r="F20" s="179">
        <f>F19*18/100</f>
        <v>74384.155799999993</v>
      </c>
    </row>
    <row r="21" spans="1:6" s="163" customFormat="1" ht="27" customHeight="1">
      <c r="A21" s="180"/>
      <c r="B21" s="181"/>
      <c r="C21" s="178"/>
      <c r="D21" s="178"/>
      <c r="E21" s="178"/>
      <c r="F21" s="179">
        <f>F19+F20</f>
        <v>487629.46579999995</v>
      </c>
    </row>
    <row r="22" spans="1:6" s="163" customFormat="1" ht="29.25" customHeight="1">
      <c r="A22" s="180"/>
      <c r="B22" s="181"/>
      <c r="C22" s="182"/>
      <c r="D22" s="178"/>
      <c r="E22" s="178" t="s">
        <v>255</v>
      </c>
      <c r="F22" s="179">
        <f>F21*1/100</f>
        <v>4876.2946579999998</v>
      </c>
    </row>
    <row r="23" spans="1:6" s="163" customFormat="1" ht="31.5" customHeight="1">
      <c r="A23" s="180"/>
      <c r="B23" s="181"/>
      <c r="C23" s="182"/>
      <c r="D23" s="178"/>
      <c r="E23" s="178" t="s">
        <v>121</v>
      </c>
      <c r="F23" s="183">
        <f>F21+F22</f>
        <v>492505.76045799995</v>
      </c>
    </row>
    <row r="24" spans="1:6" s="163" customFormat="1">
      <c r="C24" s="184"/>
      <c r="D24" s="184"/>
      <c r="E24" s="184"/>
      <c r="F24" s="184"/>
    </row>
    <row r="25" spans="1:6" s="163" customFormat="1">
      <c r="C25" s="184"/>
      <c r="D25" s="184"/>
      <c r="E25" s="184"/>
      <c r="F25" s="184"/>
    </row>
    <row r="26" spans="1:6" s="163" customFormat="1">
      <c r="C26" s="184"/>
      <c r="D26" s="184"/>
      <c r="E26" s="184"/>
      <c r="F26" s="184"/>
    </row>
    <row r="27" spans="1:6" s="163" customFormat="1">
      <c r="C27" s="184"/>
      <c r="D27" s="184"/>
      <c r="E27" s="184"/>
      <c r="F27" s="184"/>
    </row>
    <row r="28" spans="1:6" s="163" customFormat="1">
      <c r="C28" s="184"/>
      <c r="D28" s="184"/>
      <c r="E28" s="184"/>
      <c r="F28" s="184"/>
    </row>
    <row r="29" spans="1:6" s="163" customFormat="1">
      <c r="C29" s="184"/>
      <c r="D29" s="184"/>
      <c r="E29" s="184"/>
      <c r="F29" s="184"/>
    </row>
    <row r="30" spans="1:6" s="163" customFormat="1">
      <c r="C30" s="184"/>
      <c r="D30" s="184"/>
      <c r="E30" s="184"/>
      <c r="F30" s="184"/>
    </row>
    <row r="31" spans="1:6" s="163" customFormat="1">
      <c r="C31" s="184"/>
      <c r="D31" s="184"/>
      <c r="E31" s="184"/>
      <c r="F31" s="184"/>
    </row>
    <row r="32" spans="1:6" s="163" customFormat="1">
      <c r="C32" s="184"/>
      <c r="D32" s="184"/>
      <c r="E32" s="184"/>
      <c r="F32" s="184"/>
    </row>
    <row r="33" spans="1:6" s="163" customFormat="1">
      <c r="C33" s="184"/>
      <c r="D33" s="184"/>
      <c r="E33" s="184"/>
      <c r="F33" s="184"/>
    </row>
    <row r="34" spans="1:6" s="163" customFormat="1">
      <c r="C34" s="184"/>
      <c r="D34" s="184"/>
      <c r="E34" s="184"/>
      <c r="F34" s="184"/>
    </row>
    <row r="35" spans="1:6" s="163" customFormat="1">
      <c r="C35" s="184"/>
      <c r="D35" s="184"/>
      <c r="E35" s="184"/>
      <c r="F35" s="184"/>
    </row>
    <row r="36" spans="1:6" s="163" customFormat="1">
      <c r="C36" s="184"/>
      <c r="D36" s="184"/>
      <c r="E36" s="184"/>
      <c r="F36" s="184"/>
    </row>
    <row r="37" spans="1:6" s="163" customFormat="1">
      <c r="C37" s="184"/>
      <c r="D37" s="184"/>
      <c r="E37" s="184"/>
      <c r="F37" s="184"/>
    </row>
    <row r="38" spans="1:6" s="163" customFormat="1">
      <c r="C38" s="184"/>
      <c r="D38" s="184"/>
      <c r="E38" s="184"/>
      <c r="F38" s="184"/>
    </row>
    <row r="39" spans="1:6" s="163" customFormat="1">
      <c r="C39" s="184"/>
      <c r="D39" s="184"/>
      <c r="E39" s="184"/>
      <c r="F39" s="184"/>
    </row>
    <row r="40" spans="1:6" s="163" customFormat="1">
      <c r="C40" s="184"/>
      <c r="D40" s="184"/>
      <c r="E40" s="184"/>
      <c r="F40" s="184"/>
    </row>
    <row r="41" spans="1:6" s="163" customFormat="1">
      <c r="A41"/>
      <c r="B41"/>
      <c r="C41" s="185"/>
      <c r="D41" s="185"/>
      <c r="E41" s="185"/>
      <c r="F41" s="185"/>
    </row>
    <row r="42" spans="1:6">
      <c r="C42" s="185"/>
      <c r="D42" s="185"/>
      <c r="E42" s="185"/>
      <c r="F42" s="185"/>
    </row>
    <row r="43" spans="1:6">
      <c r="C43" s="185"/>
      <c r="D43" s="185"/>
      <c r="E43" s="185"/>
      <c r="F43" s="185"/>
    </row>
    <row r="44" spans="1:6">
      <c r="C44" s="185"/>
      <c r="D44" s="185"/>
      <c r="E44" s="185"/>
      <c r="F44" s="185"/>
    </row>
    <row r="45" spans="1:6">
      <c r="C45" s="185"/>
      <c r="D45" s="185"/>
      <c r="E45" s="185"/>
      <c r="F45" s="185"/>
    </row>
    <row r="46" spans="1:6">
      <c r="C46" s="185"/>
      <c r="D46" s="185"/>
      <c r="E46" s="185"/>
      <c r="F46" s="185"/>
    </row>
    <row r="47" spans="1:6">
      <c r="C47" s="185"/>
      <c r="D47" s="185"/>
      <c r="E47" s="185"/>
      <c r="F47" s="185"/>
    </row>
    <row r="48" spans="1:6">
      <c r="C48" s="185"/>
      <c r="D48" s="185"/>
      <c r="E48" s="185"/>
      <c r="F48" s="185"/>
    </row>
    <row r="49" spans="3:6">
      <c r="C49" s="185"/>
      <c r="D49" s="185"/>
      <c r="E49" s="185"/>
      <c r="F49" s="185"/>
    </row>
    <row r="50" spans="3:6">
      <c r="C50" s="185"/>
      <c r="D50" s="185"/>
      <c r="E50" s="185"/>
      <c r="F50" s="185"/>
    </row>
    <row r="51" spans="3:6">
      <c r="C51" s="185"/>
      <c r="D51" s="185"/>
      <c r="E51" s="185"/>
      <c r="F51" s="185"/>
    </row>
  </sheetData>
  <mergeCells count="3">
    <mergeCell ref="A1:F1"/>
    <mergeCell ref="A2:F2"/>
    <mergeCell ref="A3:F3"/>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F50"/>
  <sheetViews>
    <sheetView workbookViewId="0">
      <selection activeCell="A3" sqref="A3:F3"/>
    </sheetView>
  </sheetViews>
  <sheetFormatPr defaultRowHeight="15"/>
  <cols>
    <col min="1" max="1" width="6.42578125" customWidth="1"/>
    <col min="2" max="2" width="50.42578125" customWidth="1"/>
    <col min="3" max="3" width="8.5703125" customWidth="1"/>
    <col min="4" max="4" width="5.140625" bestFit="1" customWidth="1"/>
    <col min="5" max="5" width="10.28515625" customWidth="1"/>
    <col min="6" max="6" width="18.85546875" customWidth="1"/>
  </cols>
  <sheetData>
    <row r="1" spans="1:6" ht="15.75">
      <c r="A1" s="228" t="s">
        <v>231</v>
      </c>
      <c r="B1" s="228"/>
      <c r="C1" s="228"/>
      <c r="D1" s="228"/>
      <c r="E1" s="228"/>
      <c r="F1" s="228"/>
    </row>
    <row r="2" spans="1:6" ht="15.75">
      <c r="A2" s="229" t="s">
        <v>1</v>
      </c>
      <c r="B2" s="230"/>
      <c r="C2" s="230"/>
      <c r="D2" s="230"/>
      <c r="E2" s="230"/>
      <c r="F2" s="231"/>
    </row>
    <row r="3" spans="1:6" ht="54" customHeight="1">
      <c r="A3" s="237" t="s">
        <v>283</v>
      </c>
      <c r="B3" s="237"/>
      <c r="C3" s="237"/>
      <c r="D3" s="237"/>
      <c r="E3" s="237"/>
      <c r="F3" s="237"/>
    </row>
    <row r="4" spans="1:6">
      <c r="A4" s="152" t="s">
        <v>233</v>
      </c>
      <c r="B4" s="153" t="s">
        <v>234</v>
      </c>
      <c r="C4" s="153" t="s">
        <v>235</v>
      </c>
      <c r="D4" s="153" t="s">
        <v>54</v>
      </c>
      <c r="E4" s="152" t="s">
        <v>236</v>
      </c>
      <c r="F4" s="152" t="s">
        <v>237</v>
      </c>
    </row>
    <row r="5" spans="1:6" s="87" customFormat="1" ht="93.75" customHeight="1">
      <c r="A5" s="154" t="s">
        <v>238</v>
      </c>
      <c r="B5" s="224" t="s">
        <v>284</v>
      </c>
      <c r="C5" s="162">
        <v>52.8</v>
      </c>
      <c r="D5" s="157" t="s">
        <v>76</v>
      </c>
      <c r="E5" s="162">
        <v>167.33</v>
      </c>
      <c r="F5" s="159">
        <f t="shared" ref="F5:F17" si="0">ROUND((C5*E5),2)</f>
        <v>8835.02</v>
      </c>
    </row>
    <row r="6" spans="1:6" ht="96" customHeight="1">
      <c r="A6" s="160" t="s">
        <v>240</v>
      </c>
      <c r="B6" s="225" t="s">
        <v>285</v>
      </c>
      <c r="C6" s="162">
        <v>6.6</v>
      </c>
      <c r="D6" s="157" t="s">
        <v>76</v>
      </c>
      <c r="E6" s="162">
        <v>589.51</v>
      </c>
      <c r="F6" s="159">
        <f t="shared" si="0"/>
        <v>3890.77</v>
      </c>
    </row>
    <row r="7" spans="1:6" s="163" customFormat="1" ht="66" customHeight="1">
      <c r="A7" s="160" t="s">
        <v>286</v>
      </c>
      <c r="B7" s="226" t="s">
        <v>287</v>
      </c>
      <c r="C7" s="162">
        <v>88</v>
      </c>
      <c r="D7" s="157" t="s">
        <v>71</v>
      </c>
      <c r="E7" s="162">
        <v>330.34</v>
      </c>
      <c r="F7" s="159">
        <f t="shared" si="0"/>
        <v>29069.919999999998</v>
      </c>
    </row>
    <row r="8" spans="1:6" s="163" customFormat="1" ht="48">
      <c r="A8" s="217" t="s">
        <v>288</v>
      </c>
      <c r="B8" s="165" t="s">
        <v>289</v>
      </c>
      <c r="C8" s="162">
        <v>8.8000000000000007</v>
      </c>
      <c r="D8" s="157" t="s">
        <v>76</v>
      </c>
      <c r="E8" s="162">
        <v>4598.2299999999996</v>
      </c>
      <c r="F8" s="159">
        <f t="shared" si="0"/>
        <v>40464.42</v>
      </c>
    </row>
    <row r="9" spans="1:6" s="163" customFormat="1" ht="87.75" customHeight="1">
      <c r="A9" s="217" t="s">
        <v>290</v>
      </c>
      <c r="B9" s="224" t="s">
        <v>291</v>
      </c>
      <c r="C9" s="162">
        <v>81.400000000000006</v>
      </c>
      <c r="D9" s="157" t="s">
        <v>76</v>
      </c>
      <c r="E9" s="162">
        <v>5110.26</v>
      </c>
      <c r="F9" s="159">
        <f t="shared" si="0"/>
        <v>415975.16</v>
      </c>
    </row>
    <row r="10" spans="1:6" s="163" customFormat="1" ht="66" customHeight="1">
      <c r="A10" s="220" t="s">
        <v>292</v>
      </c>
      <c r="B10" s="227" t="s">
        <v>293</v>
      </c>
      <c r="C10" s="162">
        <v>36.5</v>
      </c>
      <c r="D10" s="157" t="s">
        <v>71</v>
      </c>
      <c r="E10" s="162">
        <v>165.8</v>
      </c>
      <c r="F10" s="159">
        <f t="shared" si="0"/>
        <v>6051.7</v>
      </c>
    </row>
    <row r="11" spans="1:6" s="163" customFormat="1" ht="66" customHeight="1">
      <c r="A11" s="220" t="s">
        <v>294</v>
      </c>
      <c r="B11" s="227" t="s">
        <v>295</v>
      </c>
      <c r="C11" s="162">
        <v>36.5</v>
      </c>
      <c r="D11" s="157" t="s">
        <v>71</v>
      </c>
      <c r="E11" s="162">
        <v>54.43</v>
      </c>
      <c r="F11" s="159">
        <f t="shared" si="0"/>
        <v>1986.7</v>
      </c>
    </row>
    <row r="12" spans="1:6" s="163" customFormat="1">
      <c r="A12" s="169">
        <v>8</v>
      </c>
      <c r="B12" s="170" t="s">
        <v>185</v>
      </c>
      <c r="C12" s="162">
        <v>0</v>
      </c>
      <c r="D12" s="157">
        <v>0</v>
      </c>
      <c r="E12" s="162">
        <v>0</v>
      </c>
      <c r="F12" s="159">
        <f t="shared" si="0"/>
        <v>0</v>
      </c>
    </row>
    <row r="13" spans="1:6" s="163" customFormat="1">
      <c r="A13" s="172" t="s">
        <v>35</v>
      </c>
      <c r="B13" s="173" t="s">
        <v>249</v>
      </c>
      <c r="C13" s="162">
        <v>33.524999999999999</v>
      </c>
      <c r="D13" s="162" t="s">
        <v>76</v>
      </c>
      <c r="E13" s="168">
        <f>'[1]RCC DRAIN'!I37</f>
        <v>848.82</v>
      </c>
      <c r="F13" s="159">
        <f t="shared" si="0"/>
        <v>28456.69</v>
      </c>
    </row>
    <row r="14" spans="1:6" s="163" customFormat="1">
      <c r="A14" s="172" t="s">
        <v>37</v>
      </c>
      <c r="B14" s="173" t="s">
        <v>250</v>
      </c>
      <c r="C14" s="162">
        <v>6.6</v>
      </c>
      <c r="D14" s="162" t="s">
        <v>76</v>
      </c>
      <c r="E14" s="168">
        <f>'[1]RCC DRAIN'!I38</f>
        <v>313.14</v>
      </c>
      <c r="F14" s="159">
        <f t="shared" si="0"/>
        <v>2066.7199999999998</v>
      </c>
    </row>
    <row r="15" spans="1:6" s="163" customFormat="1">
      <c r="A15" s="172" t="s">
        <v>74</v>
      </c>
      <c r="B15" s="174" t="s">
        <v>251</v>
      </c>
      <c r="C15" s="162">
        <v>7.92</v>
      </c>
      <c r="D15" s="162" t="s">
        <v>76</v>
      </c>
      <c r="E15" s="168">
        <f>'[1]RCC DRAIN'!I39</f>
        <v>447.06</v>
      </c>
      <c r="F15" s="159">
        <f t="shared" si="0"/>
        <v>3540.72</v>
      </c>
    </row>
    <row r="16" spans="1:6" s="163" customFormat="1">
      <c r="A16" s="172" t="s">
        <v>39</v>
      </c>
      <c r="B16" s="174" t="s">
        <v>296</v>
      </c>
      <c r="C16" s="162">
        <v>35908</v>
      </c>
      <c r="D16" s="162" t="s">
        <v>297</v>
      </c>
      <c r="E16" s="168">
        <v>755.2</v>
      </c>
      <c r="F16" s="159">
        <f>ROUND((C16*E16),2)/1000</f>
        <v>27117.721600000001</v>
      </c>
    </row>
    <row r="17" spans="1:6" s="163" customFormat="1">
      <c r="A17" s="172" t="s">
        <v>41</v>
      </c>
      <c r="B17" s="174" t="s">
        <v>253</v>
      </c>
      <c r="C17" s="162">
        <v>52.8</v>
      </c>
      <c r="D17" s="162" t="s">
        <v>76</v>
      </c>
      <c r="E17" s="168">
        <f>'[1]RCC DRAIN'!I41</f>
        <v>117.54</v>
      </c>
      <c r="F17" s="159">
        <f t="shared" si="0"/>
        <v>6206.11</v>
      </c>
    </row>
    <row r="18" spans="1:6" s="163" customFormat="1">
      <c r="A18" s="175"/>
      <c r="B18" s="176"/>
      <c r="C18" s="177"/>
      <c r="D18" s="178"/>
      <c r="E18" s="178" t="s">
        <v>121</v>
      </c>
      <c r="F18" s="179">
        <f>SUM(F5:F17)</f>
        <v>573661.65159999998</v>
      </c>
    </row>
    <row r="19" spans="1:6" s="163" customFormat="1">
      <c r="A19" s="180"/>
      <c r="B19" s="181"/>
      <c r="C19" s="178"/>
      <c r="D19" s="177"/>
      <c r="E19" s="178" t="s">
        <v>254</v>
      </c>
      <c r="F19" s="179">
        <f>F18*18/100</f>
        <v>103259.09728799999</v>
      </c>
    </row>
    <row r="20" spans="1:6" s="163" customFormat="1">
      <c r="A20" s="180"/>
      <c r="B20" s="181"/>
      <c r="C20" s="178"/>
      <c r="D20" s="178"/>
      <c r="E20" s="178"/>
      <c r="F20" s="179">
        <f>F18+F19</f>
        <v>676920.74888799991</v>
      </c>
    </row>
    <row r="21" spans="1:6" s="163" customFormat="1">
      <c r="A21" s="180"/>
      <c r="B21" s="181"/>
      <c r="C21" s="182"/>
      <c r="D21" s="178"/>
      <c r="E21" s="178" t="s">
        <v>255</v>
      </c>
      <c r="F21" s="179">
        <f>F20*1/100</f>
        <v>6769.2074888799989</v>
      </c>
    </row>
    <row r="22" spans="1:6" s="163" customFormat="1">
      <c r="A22" s="180"/>
      <c r="B22" s="181"/>
      <c r="C22" s="182"/>
      <c r="D22" s="178"/>
      <c r="E22" s="178" t="s">
        <v>121</v>
      </c>
      <c r="F22" s="183">
        <f>F20+F21</f>
        <v>683689.95637687994</v>
      </c>
    </row>
    <row r="23" spans="1:6" s="163" customFormat="1">
      <c r="C23" s="184"/>
      <c r="D23" s="184"/>
      <c r="E23" s="184"/>
      <c r="F23" s="184"/>
    </row>
    <row r="24" spans="1:6" s="163" customFormat="1">
      <c r="C24" s="184"/>
      <c r="D24" s="184"/>
      <c r="E24" s="184"/>
      <c r="F24" s="184"/>
    </row>
    <row r="25" spans="1:6" s="163" customFormat="1">
      <c r="C25" s="184"/>
      <c r="D25" s="184"/>
      <c r="E25" s="184"/>
      <c r="F25" s="184"/>
    </row>
    <row r="26" spans="1:6" s="163" customFormat="1">
      <c r="C26" s="184"/>
      <c r="D26" s="184"/>
      <c r="E26" s="184"/>
      <c r="F26" s="184"/>
    </row>
    <row r="27" spans="1:6" s="163" customFormat="1">
      <c r="C27" s="184"/>
      <c r="D27" s="184"/>
      <c r="E27" s="184"/>
      <c r="F27" s="184"/>
    </row>
    <row r="28" spans="1:6" s="163" customFormat="1">
      <c r="C28" s="184"/>
      <c r="D28" s="184"/>
      <c r="E28" s="184"/>
      <c r="F28" s="184"/>
    </row>
    <row r="29" spans="1:6" s="163" customFormat="1">
      <c r="C29" s="184"/>
      <c r="D29" s="184"/>
      <c r="E29" s="184"/>
      <c r="F29" s="184"/>
    </row>
    <row r="30" spans="1:6" s="163" customFormat="1">
      <c r="C30" s="184"/>
      <c r="D30" s="184"/>
      <c r="E30" s="184"/>
      <c r="F30" s="184"/>
    </row>
    <row r="31" spans="1:6" s="163" customFormat="1">
      <c r="C31" s="184"/>
      <c r="D31" s="184"/>
      <c r="E31" s="184"/>
      <c r="F31" s="184"/>
    </row>
    <row r="32" spans="1:6" s="163" customFormat="1">
      <c r="C32" s="184"/>
      <c r="D32" s="184"/>
      <c r="E32" s="184"/>
      <c r="F32" s="184"/>
    </row>
    <row r="33" spans="1:6" s="163" customFormat="1">
      <c r="C33" s="184"/>
      <c r="D33" s="184"/>
      <c r="E33" s="184"/>
      <c r="F33" s="184"/>
    </row>
    <row r="34" spans="1:6" s="163" customFormat="1">
      <c r="C34" s="184"/>
      <c r="D34" s="184"/>
      <c r="E34" s="184"/>
      <c r="F34" s="184"/>
    </row>
    <row r="35" spans="1:6" s="163" customFormat="1">
      <c r="C35" s="184"/>
      <c r="D35" s="184"/>
      <c r="E35" s="184"/>
      <c r="F35" s="184"/>
    </row>
    <row r="36" spans="1:6" s="163" customFormat="1">
      <c r="C36" s="184"/>
      <c r="D36" s="184"/>
      <c r="E36" s="184"/>
      <c r="F36" s="184"/>
    </row>
    <row r="37" spans="1:6" s="163" customFormat="1">
      <c r="C37" s="184"/>
      <c r="D37" s="184"/>
      <c r="E37" s="184"/>
      <c r="F37" s="184"/>
    </row>
    <row r="38" spans="1:6" s="163" customFormat="1">
      <c r="C38" s="184"/>
      <c r="D38" s="184"/>
      <c r="E38" s="184"/>
      <c r="F38" s="184"/>
    </row>
    <row r="39" spans="1:6" s="163" customFormat="1">
      <c r="C39" s="184"/>
      <c r="D39" s="184"/>
      <c r="E39" s="184"/>
      <c r="F39" s="184"/>
    </row>
    <row r="40" spans="1:6" s="163" customFormat="1">
      <c r="A40"/>
      <c r="B40"/>
      <c r="C40" s="185"/>
      <c r="D40" s="185"/>
      <c r="E40" s="185"/>
      <c r="F40" s="185"/>
    </row>
    <row r="41" spans="1:6">
      <c r="C41" s="185"/>
      <c r="D41" s="185"/>
      <c r="E41" s="185"/>
      <c r="F41" s="185"/>
    </row>
    <row r="42" spans="1:6">
      <c r="C42" s="185"/>
      <c r="D42" s="185"/>
      <c r="E42" s="185"/>
      <c r="F42" s="185"/>
    </row>
    <row r="43" spans="1:6">
      <c r="C43" s="185"/>
      <c r="D43" s="185"/>
      <c r="E43" s="185"/>
      <c r="F43" s="185"/>
    </row>
    <row r="44" spans="1:6">
      <c r="C44" s="185"/>
      <c r="D44" s="185"/>
      <c r="E44" s="185"/>
      <c r="F44" s="185"/>
    </row>
    <row r="45" spans="1:6">
      <c r="C45" s="185"/>
      <c r="D45" s="185"/>
      <c r="E45" s="185"/>
      <c r="F45" s="185"/>
    </row>
    <row r="46" spans="1:6">
      <c r="C46" s="185"/>
      <c r="D46" s="185"/>
      <c r="E46" s="185"/>
      <c r="F46" s="185"/>
    </row>
    <row r="47" spans="1:6">
      <c r="C47" s="185"/>
      <c r="D47" s="185"/>
      <c r="E47" s="185"/>
      <c r="F47" s="185"/>
    </row>
    <row r="48" spans="1:6">
      <c r="C48" s="185"/>
      <c r="D48" s="185"/>
      <c r="E48" s="185"/>
      <c r="F48" s="185"/>
    </row>
    <row r="49" spans="3:6">
      <c r="C49" s="185"/>
      <c r="D49" s="185"/>
      <c r="E49" s="185"/>
      <c r="F49" s="185"/>
    </row>
    <row r="50" spans="3:6">
      <c r="C50" s="185"/>
      <c r="D50" s="185"/>
      <c r="E50" s="185"/>
      <c r="F50" s="185"/>
    </row>
  </sheetData>
  <mergeCells count="3">
    <mergeCell ref="A1:F1"/>
    <mergeCell ref="A2:F2"/>
    <mergeCell ref="A3:F3"/>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F25"/>
  <sheetViews>
    <sheetView workbookViewId="0">
      <selection activeCell="A3" sqref="A3:F3"/>
    </sheetView>
  </sheetViews>
  <sheetFormatPr defaultColWidth="9.140625" defaultRowHeight="15"/>
  <cols>
    <col min="1" max="1" width="9.28515625" style="140" bestFit="1" customWidth="1"/>
    <col min="2" max="2" width="42.28515625" style="141" customWidth="1"/>
    <col min="3" max="3" width="9.140625" style="108" customWidth="1"/>
    <col min="4" max="4" width="9.140625" style="142"/>
    <col min="5" max="5" width="11.28515625" style="151" bestFit="1" customWidth="1"/>
    <col min="6" max="6" width="18.5703125" style="151" bestFit="1" customWidth="1"/>
    <col min="7" max="16384" width="9.140625" style="108"/>
  </cols>
  <sheetData>
    <row r="1" spans="1:6" ht="60.75" customHeight="1">
      <c r="A1" s="239" t="s">
        <v>49</v>
      </c>
      <c r="B1" s="239"/>
      <c r="C1" s="239"/>
      <c r="D1" s="239"/>
      <c r="E1" s="239"/>
      <c r="F1" s="239"/>
    </row>
    <row r="2" spans="1:6" ht="18.75">
      <c r="A2" s="240" t="s">
        <v>114</v>
      </c>
      <c r="B2" s="240"/>
      <c r="C2" s="240"/>
      <c r="D2" s="240"/>
      <c r="E2" s="240"/>
      <c r="F2" s="240"/>
    </row>
    <row r="3" spans="1:6" ht="55.5" customHeight="1">
      <c r="A3" s="241" t="str">
        <f>[3]Drain!A3</f>
        <v>Name of Work :-Construction of RCC Drain at Kokar Adarsh Nagar from house of Dilip Pramanik to house of Sudheer Kumar under ward no-08</v>
      </c>
      <c r="B3" s="241"/>
      <c r="C3" s="241"/>
      <c r="D3" s="241"/>
      <c r="E3" s="241"/>
      <c r="F3" s="241"/>
    </row>
    <row r="4" spans="1:6">
      <c r="A4" s="30" t="s">
        <v>51</v>
      </c>
      <c r="B4" s="30" t="s">
        <v>52</v>
      </c>
      <c r="C4" s="30" t="s">
        <v>53</v>
      </c>
      <c r="D4" s="30" t="s">
        <v>54</v>
      </c>
      <c r="E4" s="145" t="s">
        <v>55</v>
      </c>
      <c r="F4" s="145" t="s">
        <v>56</v>
      </c>
    </row>
    <row r="5" spans="1:6" ht="120">
      <c r="A5" s="144" t="str">
        <f>[3]Drain!A5</f>
        <v>1            5.1.1</v>
      </c>
      <c r="B5" s="107" t="str">
        <f>[3]Drain!B5</f>
        <v xml:space="preserve">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v>
      </c>
      <c r="C5" s="45">
        <f>[3]Drain!G8</f>
        <v>18.920000000000002</v>
      </c>
      <c r="D5" s="138" t="str">
        <f>D6</f>
        <v>M3</v>
      </c>
      <c r="E5" s="146">
        <f>[3]Drain!I8</f>
        <v>151.82</v>
      </c>
      <c r="F5" s="146">
        <f>ROUND((C5*E5),2)</f>
        <v>2872.43</v>
      </c>
    </row>
    <row r="6" spans="1:6" ht="120">
      <c r="A6" s="144" t="str">
        <f>[3]Drain!A9</f>
        <v>2
4/M004</v>
      </c>
      <c r="B6" s="107" t="str">
        <f>[4]Sheet1!B9</f>
        <v>Providing,supplying &amp; spreding of stone dust in filling in foundation trenches or in plinth including ramming and watering in layers not exceeding 150 mm thick with all leads and lifts including cost of materials, labour,royality and taxes all complete as per specification and direction of E/I ( Mode of measurment compacted volume.)</v>
      </c>
      <c r="C6" s="45">
        <f>[3]Drain!G12</f>
        <v>1.18</v>
      </c>
      <c r="D6" s="138" t="s">
        <v>136</v>
      </c>
      <c r="E6" s="146">
        <f>[4]Sheet1!I12</f>
        <v>347.85</v>
      </c>
      <c r="F6" s="146">
        <f t="shared" ref="F6:F19" si="0">ROUND((C6*E6),2)</f>
        <v>410.46</v>
      </c>
    </row>
    <row r="7" spans="1:6" ht="90">
      <c r="A7" s="144" t="str">
        <f>[3]Drain!A13</f>
        <v>3
5.6.8</v>
      </c>
      <c r="B7" s="107" t="str">
        <f>[4]Sheet1!B13</f>
        <v>Supplying and laying (properly as per design and drawing) rip-rap with good  quality of boulders duly packed including the cost of materials, royalty all taxes etc. but excluding the cost of carriage all complete as per specification and direction of E/I.</v>
      </c>
      <c r="C7" s="45">
        <f>[3]Drain!G16</f>
        <v>3.02</v>
      </c>
      <c r="D7" s="138" t="s">
        <v>136</v>
      </c>
      <c r="E7" s="146">
        <f>[4]Sheet1!I16</f>
        <v>1756.4</v>
      </c>
      <c r="F7" s="146">
        <f t="shared" si="0"/>
        <v>5304.33</v>
      </c>
    </row>
    <row r="8" spans="1:6" ht="90">
      <c r="A8" s="144" t="str">
        <f>[3]Drain!A17</f>
        <v>4
5.3.10</v>
      </c>
      <c r="B8" s="107" t="str">
        <f>[4]Sheet1!B17</f>
        <v>Providing and laying in position cement concrete of specified grade excluding the cost of centering and shuttering - All work up to plinth level1:1.5:3 (1 Cement : 1.5 coarse sand zone(III): 3 graded stone aggregate 20mm nominal size)</v>
      </c>
      <c r="C8" s="45">
        <f>[3]Drain!G21</f>
        <v>7.95</v>
      </c>
      <c r="D8" s="138" t="s">
        <v>136</v>
      </c>
      <c r="E8" s="146">
        <f>[3]Drain!I21</f>
        <v>6082.45</v>
      </c>
      <c r="F8" s="146">
        <f t="shared" si="0"/>
        <v>48355.48</v>
      </c>
    </row>
    <row r="9" spans="1:6" ht="105">
      <c r="A9" s="144" t="str">
        <f>[3]Drain!A22</f>
        <v>5 5.3.11</v>
      </c>
      <c r="B9" s="107" t="str">
        <f>[3]Drain!B22</f>
        <v>Renforced cement conrete work in beams, suspended floors, having slopeup to 15' landing, balconies, shelves, chajjas, lintels, bands, plain windowsill ---------do----do-------E/I
1:1.5:3 (1 Cement : 1.5 coarse sand zone(III): 3 graded stone aggregate 20mm nominal size)</v>
      </c>
      <c r="C9" s="45">
        <f>[3]Drain!G25</f>
        <v>3.68</v>
      </c>
      <c r="D9" s="138" t="str">
        <f>D8</f>
        <v>M3</v>
      </c>
      <c r="E9" s="146">
        <f>[3]Drain!I25</f>
        <v>6308.87</v>
      </c>
      <c r="F9" s="146">
        <f t="shared" si="0"/>
        <v>23216.639999999999</v>
      </c>
    </row>
    <row r="10" spans="1:6" ht="135">
      <c r="A10" s="144">
        <f>[3]Drain!A26</f>
        <v>6</v>
      </c>
      <c r="B10" s="107" t="str">
        <f>[3]Drain!B26</f>
        <v>Providing Tor steel reinforcement of 10 mm,12mm &amp;16mm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v>
      </c>
      <c r="C10" s="45"/>
      <c r="D10" s="138"/>
      <c r="E10" s="146"/>
      <c r="F10" s="146"/>
    </row>
    <row r="11" spans="1:6">
      <c r="A11" s="144" t="str">
        <f>[3]Drain!A31</f>
        <v>(A)5.5.4</v>
      </c>
      <c r="B11" s="107" t="str">
        <f>[3]Drain!B31</f>
        <v>08mm dia 40%</v>
      </c>
      <c r="C11" s="147">
        <f>[3]Drain!G31</f>
        <v>0.37</v>
      </c>
      <c r="D11" s="138" t="str">
        <f>[3]Drain!H31</f>
        <v>M.T.</v>
      </c>
      <c r="E11" s="146">
        <f>[3]Drain!I31</f>
        <v>83314.02</v>
      </c>
      <c r="F11" s="146">
        <f t="shared" si="0"/>
        <v>30826.19</v>
      </c>
    </row>
    <row r="12" spans="1:6" ht="30">
      <c r="A12" s="144" t="str">
        <f>[3]Drain!A32</f>
        <v>(B)5.5.5(a)</v>
      </c>
      <c r="B12" s="107" t="str">
        <f>[3]Drain!B32</f>
        <v>10mm dia 60%</v>
      </c>
      <c r="C12" s="147">
        <f>[3]Drain!G32</f>
        <v>0.55400000000000005</v>
      </c>
      <c r="D12" s="138" t="str">
        <f>D11</f>
        <v>M.T.</v>
      </c>
      <c r="E12" s="146">
        <f>[3]Drain!I32</f>
        <v>82096.539999999994</v>
      </c>
      <c r="F12" s="146">
        <f t="shared" si="0"/>
        <v>45481.48</v>
      </c>
    </row>
    <row r="13" spans="1:6" ht="60">
      <c r="A13" s="144" t="str">
        <f>[3]Drain!A34</f>
        <v>7
5.3.17.1</v>
      </c>
      <c r="B13" s="107" t="str">
        <f>[3]Drain!B34</f>
        <v>Centering and Shuttering including strutting, propping etc and removal of from for  
 Foundation , footing , bases of columns etc for mass concrete.</v>
      </c>
      <c r="C13" s="45">
        <f>[3]Drain!G38</f>
        <v>84.57</v>
      </c>
      <c r="D13" s="138" t="str">
        <f>[3]Drain!H38</f>
        <v>m2</v>
      </c>
      <c r="E13" s="146">
        <f>[3]Drain!I38</f>
        <v>194.5</v>
      </c>
      <c r="F13" s="146">
        <f t="shared" si="0"/>
        <v>16448.87</v>
      </c>
    </row>
    <row r="14" spans="1:6">
      <c r="A14" s="139">
        <v>6</v>
      </c>
      <c r="B14" s="105" t="s">
        <v>223</v>
      </c>
      <c r="C14" s="44"/>
      <c r="D14" s="138"/>
      <c r="E14" s="146"/>
      <c r="F14" s="146"/>
    </row>
    <row r="15" spans="1:6">
      <c r="A15" s="129" t="s">
        <v>35</v>
      </c>
      <c r="B15" s="148" t="s">
        <v>224</v>
      </c>
      <c r="C15" s="45">
        <f>[3]Drain!G40</f>
        <v>5</v>
      </c>
      <c r="D15" s="138" t="s">
        <v>136</v>
      </c>
      <c r="E15" s="149">
        <f>[4]Sheet1!I26</f>
        <v>848.82</v>
      </c>
      <c r="F15" s="146">
        <f t="shared" si="0"/>
        <v>4244.1000000000004</v>
      </c>
    </row>
    <row r="16" spans="1:6">
      <c r="A16" s="129" t="s">
        <v>37</v>
      </c>
      <c r="B16" s="148" t="str">
        <f>[3]Drain!B41</f>
        <v>Stone Dust (Lead 22 KM)</v>
      </c>
      <c r="C16" s="45">
        <f>[3]Drain!G41</f>
        <v>1.18</v>
      </c>
      <c r="D16" s="138" t="s">
        <v>136</v>
      </c>
      <c r="E16" s="149">
        <f>[4]Sheet1!I27</f>
        <v>447.06</v>
      </c>
      <c r="F16" s="146">
        <f t="shared" si="0"/>
        <v>527.53</v>
      </c>
    </row>
    <row r="17" spans="1:6">
      <c r="A17" s="129" t="s">
        <v>74</v>
      </c>
      <c r="B17" s="148" t="s">
        <v>225</v>
      </c>
      <c r="C17" s="45">
        <f>[3]Drain!G42</f>
        <v>3.02</v>
      </c>
      <c r="D17" s="138" t="s">
        <v>136</v>
      </c>
      <c r="E17" s="149">
        <f>[4]Sheet1!I28</f>
        <v>679.66</v>
      </c>
      <c r="F17" s="146">
        <f t="shared" si="0"/>
        <v>2052.5700000000002</v>
      </c>
    </row>
    <row r="18" spans="1:6">
      <c r="A18" s="129" t="s">
        <v>39</v>
      </c>
      <c r="B18" s="148" t="s">
        <v>226</v>
      </c>
      <c r="C18" s="45">
        <f>[3]Drain!G43</f>
        <v>10</v>
      </c>
      <c r="D18" s="138" t="s">
        <v>136</v>
      </c>
      <c r="E18" s="149">
        <f>[4]Sheet1!I29</f>
        <v>447.06</v>
      </c>
      <c r="F18" s="146">
        <f t="shared" si="0"/>
        <v>4470.6000000000004</v>
      </c>
    </row>
    <row r="19" spans="1:6">
      <c r="A19" s="129" t="s">
        <v>41</v>
      </c>
      <c r="B19" s="148" t="s">
        <v>42</v>
      </c>
      <c r="C19" s="45">
        <f>[3]Drain!G44</f>
        <v>18.920000000000002</v>
      </c>
      <c r="D19" s="138" t="s">
        <v>136</v>
      </c>
      <c r="E19" s="149">
        <f>[4]Sheet1!I30</f>
        <v>117.54</v>
      </c>
      <c r="F19" s="146">
        <f t="shared" si="0"/>
        <v>2223.86</v>
      </c>
    </row>
    <row r="20" spans="1:6" ht="18.75">
      <c r="A20" s="139"/>
      <c r="B20" s="105"/>
      <c r="C20" s="44"/>
      <c r="D20" s="138"/>
      <c r="E20" s="146" t="s">
        <v>121</v>
      </c>
      <c r="F20" s="150">
        <f>SUM(F5:F19)</f>
        <v>186434.54</v>
      </c>
    </row>
    <row r="21" spans="1:6" ht="18.75">
      <c r="A21" s="238" t="s">
        <v>227</v>
      </c>
      <c r="B21" s="238"/>
      <c r="C21" s="238"/>
      <c r="D21" s="238"/>
      <c r="E21" s="238"/>
      <c r="F21" s="150">
        <f>ROUND((F20*18%),2)</f>
        <v>33558.22</v>
      </c>
    </row>
    <row r="22" spans="1:6" ht="18.75">
      <c r="A22" s="238" t="s">
        <v>77</v>
      </c>
      <c r="B22" s="238" t="s">
        <v>77</v>
      </c>
      <c r="C22" s="238"/>
      <c r="D22" s="238"/>
      <c r="E22" s="238"/>
      <c r="F22" s="150">
        <f>F20+F21</f>
        <v>219992.76</v>
      </c>
    </row>
    <row r="23" spans="1:6" ht="18.75">
      <c r="A23" s="238" t="s">
        <v>228</v>
      </c>
      <c r="B23" s="238" t="s">
        <v>229</v>
      </c>
      <c r="C23" s="238"/>
      <c r="D23" s="238"/>
      <c r="E23" s="238"/>
      <c r="F23" s="150">
        <f>ROUND((F22*1%),2)</f>
        <v>2199.9299999999998</v>
      </c>
    </row>
    <row r="24" spans="1:6" ht="18.75">
      <c r="A24" s="238" t="s">
        <v>77</v>
      </c>
      <c r="B24" s="238" t="s">
        <v>77</v>
      </c>
      <c r="C24" s="238"/>
      <c r="D24" s="238"/>
      <c r="E24" s="238"/>
      <c r="F24" s="150">
        <f>F22+F23</f>
        <v>222192.69</v>
      </c>
    </row>
    <row r="25" spans="1:6" ht="18.75">
      <c r="A25" s="238" t="s">
        <v>230</v>
      </c>
      <c r="B25" s="238" t="s">
        <v>230</v>
      </c>
      <c r="C25" s="238"/>
      <c r="D25" s="238"/>
      <c r="E25" s="238"/>
      <c r="F25" s="150">
        <f>ROUND((F24),0)</f>
        <v>222193</v>
      </c>
    </row>
  </sheetData>
  <mergeCells count="8">
    <mergeCell ref="A24:E24"/>
    <mergeCell ref="A25:E25"/>
    <mergeCell ref="A1:F1"/>
    <mergeCell ref="A2:F2"/>
    <mergeCell ref="A3:F3"/>
    <mergeCell ref="A21:E21"/>
    <mergeCell ref="A22:E22"/>
    <mergeCell ref="A23:E2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Sheet1</vt:lpstr>
      <vt:lpstr>Sheet2</vt:lpstr>
      <vt:lpstr>Sheet3</vt:lpstr>
      <vt:lpstr>Sheet4</vt:lpstr>
      <vt:lpstr>Sheet5</vt:lpstr>
      <vt:lpstr>Sheet6</vt:lpstr>
      <vt:lpstr>Sheet7</vt:lpstr>
      <vt:lpstr>Sheet8</vt:lpstr>
      <vt:lpstr>Sheet9</vt:lpstr>
      <vt:lpstr>Sheet10</vt:lpstr>
      <vt:lpstr>Sheet11</vt:lpstr>
      <vt:lpstr>Sheet12</vt:lpstr>
      <vt:lpstr>Sheet13</vt:lpstr>
      <vt:lpstr>Sheet14</vt:lpstr>
      <vt:lpstr>Sheet15</vt:lpstr>
      <vt:lpstr>Sheet16</vt:lpstr>
      <vt:lpstr>Sheet17</vt:lpstr>
      <vt:lpstr>Sheet18</vt:lpstr>
      <vt:lpstr>Sheet19</vt:lpstr>
      <vt:lpstr>Sheet20</vt:lpstr>
      <vt:lpstr>Sheet21</vt:lpstr>
      <vt:lpstr>Sheet22</vt:lpstr>
      <vt:lpstr>Sheet23</vt:lpstr>
      <vt:lpstr>Sheet24</vt:lpstr>
      <vt:lpstr>Sheet25</vt:lpstr>
      <vt:lpstr>Sheet26</vt:lpstr>
      <vt:lpstr>Sheet27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2023-02-07T06:32:52Z</dcterms:created>
  <dcterms:modified xsi:type="dcterms:W3CDTF">2023-02-08T14:40:03Z</dcterms:modified>
</cp:coreProperties>
</file>