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8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calcPr calcId="124519"/>
</workbook>
</file>

<file path=xl/calcChain.xml><?xml version="1.0" encoding="utf-8"?>
<calcChain xmlns="http://schemas.openxmlformats.org/spreadsheetml/2006/main">
  <c r="E16" i="20"/>
  <c r="C16"/>
  <c r="F16" s="1"/>
  <c r="B16"/>
  <c r="E15"/>
  <c r="C15"/>
  <c r="F15" s="1"/>
  <c r="B15"/>
  <c r="E14"/>
  <c r="C14"/>
  <c r="F14" s="1"/>
  <c r="B14"/>
  <c r="E13"/>
  <c r="C13"/>
  <c r="F13" s="1"/>
  <c r="B13"/>
  <c r="E12"/>
  <c r="C12"/>
  <c r="F12" s="1"/>
  <c r="B12"/>
  <c r="A11"/>
  <c r="E10"/>
  <c r="C10"/>
  <c r="F10" s="1"/>
  <c r="B10"/>
  <c r="A10"/>
  <c r="E9"/>
  <c r="C9"/>
  <c r="F9" s="1"/>
  <c r="B9"/>
  <c r="A9"/>
  <c r="E8"/>
  <c r="C8"/>
  <c r="F8" s="1"/>
  <c r="B8"/>
  <c r="A8"/>
  <c r="E7"/>
  <c r="C7"/>
  <c r="F7" s="1"/>
  <c r="B7"/>
  <c r="A7"/>
  <c r="E6"/>
  <c r="C6"/>
  <c r="F6" s="1"/>
  <c r="B6"/>
  <c r="A6"/>
  <c r="E5"/>
  <c r="D5"/>
  <c r="C5"/>
  <c r="F5" s="1"/>
  <c r="B5"/>
  <c r="A5"/>
  <c r="A3"/>
  <c r="F17" l="1"/>
  <c r="F18" l="1"/>
  <c r="F19" s="1"/>
  <c r="F20" l="1"/>
  <c r="F21" s="1"/>
  <c r="E16" i="19" l="1"/>
  <c r="C16"/>
  <c r="F16" s="1"/>
  <c r="B16"/>
  <c r="E15"/>
  <c r="C15"/>
  <c r="F15" s="1"/>
  <c r="B15"/>
  <c r="E14"/>
  <c r="C14"/>
  <c r="F14" s="1"/>
  <c r="B14"/>
  <c r="E13"/>
  <c r="C13"/>
  <c r="F13" s="1"/>
  <c r="B13"/>
  <c r="E12"/>
  <c r="C12"/>
  <c r="F12" s="1"/>
  <c r="B12"/>
  <c r="A11"/>
  <c r="E10"/>
  <c r="C10"/>
  <c r="F10" s="1"/>
  <c r="B10"/>
  <c r="A10"/>
  <c r="E9"/>
  <c r="C9"/>
  <c r="F9" s="1"/>
  <c r="B9"/>
  <c r="A9"/>
  <c r="E8"/>
  <c r="C8"/>
  <c r="F8" s="1"/>
  <c r="B8"/>
  <c r="A8"/>
  <c r="E7"/>
  <c r="C7"/>
  <c r="F7" s="1"/>
  <c r="B7"/>
  <c r="A7"/>
  <c r="E6"/>
  <c r="C6"/>
  <c r="F6" s="1"/>
  <c r="B6"/>
  <c r="A6"/>
  <c r="F5"/>
  <c r="E5"/>
  <c r="D5"/>
  <c r="C5"/>
  <c r="B5"/>
  <c r="A3"/>
  <c r="F17" l="1"/>
  <c r="F19" l="1"/>
  <c r="F18"/>
  <c r="F20" l="1"/>
  <c r="F21" s="1"/>
  <c r="E16" i="15" l="1"/>
  <c r="C16"/>
  <c r="F16" s="1"/>
  <c r="E15"/>
  <c r="C15"/>
  <c r="F15" s="1"/>
  <c r="C14"/>
  <c r="F14" s="1"/>
  <c r="C13"/>
  <c r="F13" s="1"/>
  <c r="E12"/>
  <c r="C12"/>
  <c r="F12" s="1"/>
  <c r="A11"/>
  <c r="E10"/>
  <c r="C10"/>
  <c r="F10" s="1"/>
  <c r="A10"/>
  <c r="E9"/>
  <c r="C9"/>
  <c r="F9" s="1"/>
  <c r="A9"/>
  <c r="E8"/>
  <c r="C8"/>
  <c r="F8" s="1"/>
  <c r="A8"/>
  <c r="C7"/>
  <c r="F7" s="1"/>
  <c r="A7"/>
  <c r="E6"/>
  <c r="C6"/>
  <c r="F6" s="1"/>
  <c r="F17" s="1"/>
  <c r="A6"/>
  <c r="E5"/>
  <c r="C5"/>
  <c r="A3"/>
  <c r="F18" l="1"/>
  <c r="F19"/>
  <c r="F20" l="1"/>
  <c r="F21" s="1"/>
  <c r="E16" i="13" l="1"/>
  <c r="C16"/>
  <c r="F16" s="1"/>
  <c r="E15"/>
  <c r="C15"/>
  <c r="F15" s="1"/>
  <c r="E14"/>
  <c r="C14"/>
  <c r="F14" s="1"/>
  <c r="E13"/>
  <c r="C13"/>
  <c r="F13" s="1"/>
  <c r="E12"/>
  <c r="C12"/>
  <c r="F12" s="1"/>
  <c r="E10"/>
  <c r="C10"/>
  <c r="F10" s="1"/>
  <c r="B10"/>
  <c r="E9"/>
  <c r="C9"/>
  <c r="F9" s="1"/>
  <c r="B9"/>
  <c r="E8"/>
  <c r="C8"/>
  <c r="F8" s="1"/>
  <c r="B8"/>
  <c r="E7"/>
  <c r="C7"/>
  <c r="F7" s="1"/>
  <c r="B7"/>
  <c r="E6"/>
  <c r="C6"/>
  <c r="F6" s="1"/>
  <c r="B6"/>
  <c r="E5"/>
  <c r="C5"/>
  <c r="F5" s="1"/>
  <c r="B5"/>
  <c r="A3"/>
  <c r="F17" l="1"/>
  <c r="F18" l="1"/>
  <c r="F19" s="1"/>
  <c r="F20" l="1"/>
  <c r="F21" s="1"/>
  <c r="E16" i="12" l="1"/>
  <c r="C16"/>
  <c r="F16" s="1"/>
  <c r="E15"/>
  <c r="C15"/>
  <c r="F15" s="1"/>
  <c r="E14"/>
  <c r="C14"/>
  <c r="F14" s="1"/>
  <c r="E13"/>
  <c r="C13"/>
  <c r="F13" s="1"/>
  <c r="E12"/>
  <c r="C12"/>
  <c r="F12" s="1"/>
  <c r="E10"/>
  <c r="C10"/>
  <c r="F10" s="1"/>
  <c r="E9"/>
  <c r="C9"/>
  <c r="F9" s="1"/>
  <c r="E8"/>
  <c r="C8"/>
  <c r="F8" s="1"/>
  <c r="E7"/>
  <c r="C7"/>
  <c r="F7" s="1"/>
  <c r="E6"/>
  <c r="C6"/>
  <c r="F6" s="1"/>
  <c r="E5"/>
  <c r="C5"/>
  <c r="F5" s="1"/>
  <c r="F17" s="1"/>
  <c r="A3"/>
  <c r="F18" l="1"/>
  <c r="F19" s="1"/>
  <c r="F20" l="1"/>
  <c r="F21" s="1"/>
  <c r="E16" i="14" l="1"/>
  <c r="C16"/>
  <c r="E15"/>
  <c r="C15"/>
  <c r="C14"/>
  <c r="F14" s="1"/>
  <c r="C13"/>
  <c r="F13" s="1"/>
  <c r="E12"/>
  <c r="C12"/>
  <c r="A11"/>
  <c r="E10"/>
  <c r="C10"/>
  <c r="A10"/>
  <c r="E9"/>
  <c r="C9"/>
  <c r="A9"/>
  <c r="E8"/>
  <c r="C8"/>
  <c r="A8"/>
  <c r="C7"/>
  <c r="F7" s="1"/>
  <c r="A7"/>
  <c r="E6"/>
  <c r="C6"/>
  <c r="A6"/>
  <c r="C5"/>
  <c r="F10" l="1"/>
  <c r="F8"/>
  <c r="F12"/>
  <c r="F16"/>
  <c r="F6"/>
  <c r="F17" s="1"/>
  <c r="F9"/>
  <c r="F15"/>
  <c r="F18" l="1"/>
  <c r="F19" s="1"/>
  <c r="F20" l="1"/>
  <c r="F21" s="1"/>
  <c r="E16" i="11" l="1"/>
  <c r="C16"/>
  <c r="F16" s="1"/>
  <c r="E15"/>
  <c r="C15"/>
  <c r="F15" s="1"/>
  <c r="E14"/>
  <c r="C14"/>
  <c r="F14" s="1"/>
  <c r="E13"/>
  <c r="C13"/>
  <c r="F13" s="1"/>
  <c r="E12"/>
  <c r="C12"/>
  <c r="F12" s="1"/>
  <c r="A11"/>
  <c r="E10"/>
  <c r="C10"/>
  <c r="F10" s="1"/>
  <c r="A10"/>
  <c r="E9"/>
  <c r="C9"/>
  <c r="F9" s="1"/>
  <c r="A9"/>
  <c r="E8"/>
  <c r="C8"/>
  <c r="F8" s="1"/>
  <c r="A8"/>
  <c r="E7"/>
  <c r="C7"/>
  <c r="F7" s="1"/>
  <c r="A7"/>
  <c r="E6"/>
  <c r="C6"/>
  <c r="F6" s="1"/>
  <c r="A6"/>
  <c r="F5"/>
  <c r="F17" l="1"/>
  <c r="F18" l="1"/>
  <c r="F19" s="1"/>
  <c r="F20" l="1"/>
  <c r="F21" s="1"/>
  <c r="C12" i="18" l="1"/>
  <c r="F12" s="1"/>
  <c r="C11"/>
  <c r="F11" s="1"/>
  <c r="C10"/>
  <c r="F10" s="1"/>
  <c r="C8"/>
  <c r="F8" s="1"/>
  <c r="C7"/>
  <c r="F7" s="1"/>
  <c r="C6"/>
  <c r="F6" s="1"/>
  <c r="C5"/>
  <c r="F5" s="1"/>
  <c r="F13" s="1"/>
  <c r="F9" i="17"/>
  <c r="F8"/>
  <c r="F6"/>
  <c r="F5"/>
  <c r="F10" s="1"/>
  <c r="F11" s="1"/>
  <c r="F12" s="1"/>
  <c r="F13" s="1"/>
  <c r="F14" s="1"/>
  <c r="F9" i="16"/>
  <c r="F7"/>
  <c r="F6"/>
  <c r="F5"/>
  <c r="F10" s="1"/>
  <c r="F11" s="1"/>
  <c r="F12" s="1"/>
  <c r="F13" s="1"/>
  <c r="F14" s="1"/>
  <c r="F14" i="18" l="1"/>
  <c r="F15" s="1"/>
  <c r="E20" i="4"/>
  <c r="C20"/>
  <c r="F20" s="1"/>
  <c r="B20"/>
  <c r="E19"/>
  <c r="C19"/>
  <c r="F19" s="1"/>
  <c r="B19"/>
  <c r="E18"/>
  <c r="C18"/>
  <c r="F18" s="1"/>
  <c r="B18"/>
  <c r="E17"/>
  <c r="C17"/>
  <c r="F17" s="1"/>
  <c r="B17"/>
  <c r="E16"/>
  <c r="C16"/>
  <c r="F16" s="1"/>
  <c r="B16"/>
  <c r="C14"/>
  <c r="F14" s="1"/>
  <c r="C12"/>
  <c r="F12" s="1"/>
  <c r="C10"/>
  <c r="F10" s="1"/>
  <c r="B10"/>
  <c r="A10"/>
  <c r="C9"/>
  <c r="F9" s="1"/>
  <c r="B9"/>
  <c r="A9"/>
  <c r="C8"/>
  <c r="F8" s="1"/>
  <c r="C7"/>
  <c r="F7" s="1"/>
  <c r="A7"/>
  <c r="E6"/>
  <c r="C6"/>
  <c r="F6" s="1"/>
  <c r="C5"/>
  <c r="F5" s="1"/>
  <c r="F21" s="1"/>
  <c r="B5"/>
  <c r="K4"/>
  <c r="B3"/>
  <c r="F16" i="18" l="1"/>
  <c r="F17" s="1"/>
  <c r="F22" i="4"/>
  <c r="F23" s="1"/>
  <c r="F24" l="1"/>
  <c r="F25" s="1"/>
  <c r="F16" i="3" l="1"/>
  <c r="F15"/>
  <c r="F14"/>
  <c r="F13"/>
  <c r="F12"/>
  <c r="F10"/>
  <c r="F9"/>
  <c r="F8"/>
  <c r="F7"/>
  <c r="F6"/>
  <c r="F5"/>
  <c r="F17" s="1"/>
  <c r="F18" s="1"/>
  <c r="F19" s="1"/>
  <c r="F20" s="1"/>
  <c r="F21" s="1"/>
  <c r="E22" i="8" l="1"/>
  <c r="C22"/>
  <c r="F22" s="1"/>
  <c r="E21"/>
  <c r="C21"/>
  <c r="F21" s="1"/>
  <c r="E20"/>
  <c r="C20"/>
  <c r="F20" s="1"/>
  <c r="E19"/>
  <c r="C19"/>
  <c r="F19" s="1"/>
  <c r="E18"/>
  <c r="C18"/>
  <c r="F18" s="1"/>
  <c r="E16"/>
  <c r="C16"/>
  <c r="F16" s="1"/>
  <c r="E15"/>
  <c r="C15"/>
  <c r="F15" s="1"/>
  <c r="E14"/>
  <c r="C14"/>
  <c r="F14" s="1"/>
  <c r="E13"/>
  <c r="C13"/>
  <c r="F13" s="1"/>
  <c r="E12"/>
  <c r="C12"/>
  <c r="F12" s="1"/>
  <c r="E11"/>
  <c r="C11"/>
  <c r="F11" s="1"/>
  <c r="E10"/>
  <c r="C10"/>
  <c r="F10" s="1"/>
  <c r="E9"/>
  <c r="C9"/>
  <c r="F9" s="1"/>
  <c r="E8"/>
  <c r="C8"/>
  <c r="F8" s="1"/>
  <c r="E7"/>
  <c r="C7"/>
  <c r="F7" s="1"/>
  <c r="B7"/>
  <c r="A7"/>
  <c r="E6"/>
  <c r="C6"/>
  <c r="F6" s="1"/>
  <c r="E5"/>
  <c r="C5"/>
  <c r="F5" s="1"/>
  <c r="F23" s="1"/>
  <c r="F24" l="1"/>
  <c r="F25" s="1"/>
  <c r="F26" l="1"/>
  <c r="F27" s="1"/>
  <c r="E16" i="7" l="1"/>
  <c r="C16"/>
  <c r="F16" s="1"/>
  <c r="E15"/>
  <c r="C15"/>
  <c r="F15" s="1"/>
  <c r="E14"/>
  <c r="C14"/>
  <c r="F14" s="1"/>
  <c r="E13"/>
  <c r="C13"/>
  <c r="F13" s="1"/>
  <c r="B13"/>
  <c r="E12"/>
  <c r="C12"/>
  <c r="F12" s="1"/>
  <c r="A11"/>
  <c r="E10"/>
  <c r="C10"/>
  <c r="F10" s="1"/>
  <c r="A10"/>
  <c r="E9"/>
  <c r="C9"/>
  <c r="F9" s="1"/>
  <c r="A9"/>
  <c r="E8"/>
  <c r="C8"/>
  <c r="F8" s="1"/>
  <c r="A8"/>
  <c r="E7"/>
  <c r="C7"/>
  <c r="F7" s="1"/>
  <c r="B7"/>
  <c r="A7"/>
  <c r="E6"/>
  <c r="C6"/>
  <c r="F6" s="1"/>
  <c r="A6"/>
  <c r="E5"/>
  <c r="C5"/>
  <c r="F5" s="1"/>
  <c r="A3"/>
  <c r="F17" l="1"/>
  <c r="F18" l="1"/>
  <c r="F19" s="1"/>
  <c r="F20" l="1"/>
  <c r="F21" s="1"/>
  <c r="E22" i="6" l="1"/>
  <c r="C22"/>
  <c r="F22" s="1"/>
  <c r="B22"/>
  <c r="A22"/>
  <c r="E21"/>
  <c r="C21"/>
  <c r="F21" s="1"/>
  <c r="B21"/>
  <c r="A21"/>
  <c r="E20"/>
  <c r="C20"/>
  <c r="F20" s="1"/>
  <c r="B20"/>
  <c r="A20"/>
  <c r="E19"/>
  <c r="C19"/>
  <c r="F19" s="1"/>
  <c r="B19"/>
  <c r="A19"/>
  <c r="E18"/>
  <c r="C18"/>
  <c r="F18" s="1"/>
  <c r="B18"/>
  <c r="A18"/>
  <c r="A17"/>
  <c r="E16"/>
  <c r="C16"/>
  <c r="F16" s="1"/>
  <c r="B16"/>
  <c r="A16"/>
  <c r="E15"/>
  <c r="C15"/>
  <c r="F15" s="1"/>
  <c r="B15"/>
  <c r="A15"/>
  <c r="E14"/>
  <c r="C14"/>
  <c r="F14" s="1"/>
  <c r="A14"/>
  <c r="E13"/>
  <c r="C13"/>
  <c r="F13" s="1"/>
  <c r="B13"/>
  <c r="A13"/>
  <c r="E12"/>
  <c r="C12"/>
  <c r="F12" s="1"/>
  <c r="B12"/>
  <c r="A12"/>
  <c r="E11"/>
  <c r="C11"/>
  <c r="F11" s="1"/>
  <c r="B11"/>
  <c r="A11"/>
  <c r="E10"/>
  <c r="C10"/>
  <c r="F10" s="1"/>
  <c r="B10"/>
  <c r="A10"/>
  <c r="E9"/>
  <c r="C9"/>
  <c r="F9" s="1"/>
  <c r="B9"/>
  <c r="A9"/>
  <c r="E8"/>
  <c r="C8"/>
  <c r="F8" s="1"/>
  <c r="B8"/>
  <c r="A8"/>
  <c r="E7"/>
  <c r="C7"/>
  <c r="F7" s="1"/>
  <c r="B7"/>
  <c r="A7"/>
  <c r="E6"/>
  <c r="C6"/>
  <c r="F6" s="1"/>
  <c r="B6"/>
  <c r="A6"/>
  <c r="E5"/>
  <c r="D5"/>
  <c r="C5"/>
  <c r="F5" s="1"/>
  <c r="B5"/>
  <c r="A5"/>
  <c r="A3"/>
  <c r="F23" l="1"/>
  <c r="F24" l="1"/>
  <c r="F25" s="1"/>
  <c r="F26" l="1"/>
  <c r="F27" s="1"/>
  <c r="E10" i="5" l="1"/>
  <c r="C10"/>
  <c r="F10" s="1"/>
  <c r="E9"/>
  <c r="C9"/>
  <c r="F9" s="1"/>
  <c r="A8"/>
  <c r="E7"/>
  <c r="C7"/>
  <c r="F7" s="1"/>
  <c r="A7"/>
  <c r="E6"/>
  <c r="C6"/>
  <c r="F6" s="1"/>
  <c r="A6"/>
  <c r="E5"/>
  <c r="C5"/>
  <c r="F5" s="1"/>
  <c r="F11" s="1"/>
  <c r="A3"/>
  <c r="E15" i="1"/>
  <c r="C15"/>
  <c r="F15" s="1"/>
  <c r="E14"/>
  <c r="C14"/>
  <c r="F14" s="1"/>
  <c r="E13"/>
  <c r="C13"/>
  <c r="F13" s="1"/>
  <c r="E12"/>
  <c r="C12"/>
  <c r="F12" s="1"/>
  <c r="E11"/>
  <c r="C11"/>
  <c r="F11" s="1"/>
  <c r="C9"/>
  <c r="F9" s="1"/>
  <c r="C8"/>
  <c r="F8" s="1"/>
  <c r="C7"/>
  <c r="F7" s="1"/>
  <c r="C6"/>
  <c r="F6" s="1"/>
  <c r="F5"/>
  <c r="E15" i="2"/>
  <c r="C15"/>
  <c r="F15" s="1"/>
  <c r="E14"/>
  <c r="C14"/>
  <c r="F14" s="1"/>
  <c r="E13"/>
  <c r="C13"/>
  <c r="F13" s="1"/>
  <c r="E12"/>
  <c r="C12"/>
  <c r="F12" s="1"/>
  <c r="E11"/>
  <c r="C11"/>
  <c r="F11" s="1"/>
  <c r="F10"/>
  <c r="C9"/>
  <c r="F9" s="1"/>
  <c r="C8"/>
  <c r="F8" s="1"/>
  <c r="C7"/>
  <c r="F7" s="1"/>
  <c r="C6"/>
  <c r="F6" s="1"/>
  <c r="C5"/>
  <c r="F5" s="1"/>
  <c r="F16" l="1"/>
  <c r="F17" s="1"/>
  <c r="F18" s="1"/>
  <c r="F16" i="1"/>
  <c r="F17" s="1"/>
  <c r="F18" s="1"/>
  <c r="F12" i="5"/>
  <c r="F13" s="1"/>
  <c r="F14" l="1"/>
  <c r="F15" s="1"/>
  <c r="F19" i="1"/>
  <c r="F20" s="1"/>
  <c r="F19" i="2"/>
  <c r="F20" s="1"/>
</calcChain>
</file>

<file path=xl/sharedStrings.xml><?xml version="1.0" encoding="utf-8"?>
<sst xmlns="http://schemas.openxmlformats.org/spreadsheetml/2006/main" count="718" uniqueCount="187">
  <si>
    <t>RANCHI  MUNICIPAL  CORPORATION,  RANCHI</t>
  </si>
  <si>
    <t>BILL OF QUANTITY</t>
  </si>
  <si>
    <t>NAME OF WORK:- CONSTRUCTION OF PCC ROAD AT ENGINE GADA MORABADI HOUSE OF KAVITA DEVI TO RAJEISTRY OFFICR ROAD UNDER WARD-03 OF RMC, RANCHI</t>
  </si>
  <si>
    <t>SL</t>
  </si>
  <si>
    <t xml:space="preserve"> Item of works</t>
  </si>
  <si>
    <t>Quantity</t>
  </si>
  <si>
    <t>Unit</t>
  </si>
  <si>
    <t xml:space="preserve">Rate          </t>
  </si>
  <si>
    <t xml:space="preserve">Amount                     </t>
  </si>
  <si>
    <t>1                  5.1.1</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</si>
  <si>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</si>
  <si>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M³</t>
  </si>
  <si>
    <t>2.     5.1.10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</si>
  <si>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</si>
  <si>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3.         5.6.8</t>
  </si>
  <si>
    <t>Supplying and laying (properly as per design and drawing )rip-rap with good quality of boulders duly packed including the cost of materials,royalty all taxes etc.but excluding the cost of carriage, all complete as per specification and direction of E/I.</t>
  </si>
  <si>
    <t>4         5.3.1.1</t>
  </si>
  <si>
    <t>Providing and laying in position cement concrete of specified grade excluding the cost of centering and shuttering - All work up to plinth level 1:1.5:3 ( 1 cement: 1.5 course sand (zone- III): 3 graded stone agreegate 20mm nominal size)</t>
  </si>
  <si>
    <t>5             5.3.17.1</t>
  </si>
  <si>
    <t>Centering and shuttering including strutting, propping etc. and removal of from for Foundations,footings, bases of columns, etc. for mass concrete.</t>
  </si>
  <si>
    <t>M²</t>
  </si>
  <si>
    <t>CARRIAGE OF MATERIALS</t>
  </si>
  <si>
    <t>(i)</t>
  </si>
  <si>
    <t>SAND-LEAD-49KM</t>
  </si>
  <si>
    <t>(ii)</t>
  </si>
  <si>
    <t>LOCAL SAND-LEAD-13KM</t>
  </si>
  <si>
    <t>(iii)</t>
  </si>
  <si>
    <t>STONE CHIPS-LEAD-22KM</t>
  </si>
  <si>
    <t>(iv)</t>
  </si>
  <si>
    <t>BOULDER-LEAD-36KM</t>
  </si>
  <si>
    <t>(v)</t>
  </si>
  <si>
    <t>EARTH-LEAD-1KM</t>
  </si>
  <si>
    <t>TOTAL</t>
  </si>
  <si>
    <t xml:space="preserve">GST18% </t>
  </si>
  <si>
    <t>L CESS 1%</t>
  </si>
  <si>
    <t>NAME OF WORK:- CONSTRUCTION OF PCC ROAD AT HANUMAN NAGAR SUMIT CATERER CHIROUNDI UNDER WARD-03 OF RMC, RANCHI</t>
  </si>
  <si>
    <t xml:space="preserve">RANCHI MUNICIPAL CORPORATION,RANCHI
</t>
  </si>
  <si>
    <t xml:space="preserve">Bill of Quantity
</t>
  </si>
  <si>
    <t>Sl No.</t>
  </si>
  <si>
    <t>Particulars or item of works</t>
  </si>
  <si>
    <t xml:space="preserve">Rate              (in Rs.) </t>
  </si>
  <si>
    <t>Amount                  (in Rs.)</t>
  </si>
  <si>
    <t>Labour for site clearence before and after the work etc.</t>
  </si>
  <si>
    <t>Each</t>
  </si>
  <si>
    <t xml:space="preserve">Providing and laying in position concrete of specified grade excluding the cost of centering and shuttering- All work upto plinth level : 1:1½:3 (1 cemet : 1½ coarse sand (zone-iii) : 3 graded stone aggregate 20mm nominal size )  </t>
  </si>
  <si>
    <t>CHIPS-LEAD-22KM</t>
  </si>
  <si>
    <t>Total</t>
  </si>
  <si>
    <t>Add 18% GST</t>
  </si>
  <si>
    <t>Add 1% Labour cess</t>
  </si>
  <si>
    <t>Say</t>
  </si>
  <si>
    <t>RANCHI MUNICIPAL CORPORATION, RANCHI</t>
  </si>
  <si>
    <t>Bill of Quantity</t>
  </si>
  <si>
    <t>S.No.</t>
  </si>
  <si>
    <t xml:space="preserve">Rate          (in Rs.) </t>
  </si>
  <si>
    <t>Amount                     (in Rs.)</t>
  </si>
  <si>
    <t>cum</t>
  </si>
  <si>
    <t>MT</t>
  </si>
  <si>
    <t>sqm</t>
  </si>
  <si>
    <t>Add 1% Labour Cess</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</si>
  <si>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</si>
  <si>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Supplying and laying (properly as per design and drawing ) rip-rap with good quality of boulders duly packed including the cost of materials,royalty all taxes etc.but excluding the cost of carriage, all complete as per specification and direction of E/I.</t>
  </si>
  <si>
    <t xml:space="preserve">  J.E.</t>
  </si>
  <si>
    <t>E.E.</t>
  </si>
  <si>
    <t>R.M.C.</t>
  </si>
  <si>
    <t xml:space="preserve">Name of Work :-CONSTRUCTION OF PCC ROAD AT PARSHAD GALI FROM KALIM HOUSE TO SARFARAJ HOUSE  AND (NALA ROAD) UNDER WARD NO. 23 </t>
  </si>
  <si>
    <t>2       5.10.2</t>
  </si>
  <si>
    <t>Dismantling  plain cement concrete or lime concrete work including stacking serviceable material in countable stacks withnn 15M.lead and disposal of unserviceable material with all lead completed as per direction of E/I.</t>
  </si>
  <si>
    <t>4 (J.B.C.D.5.1.1.)</t>
  </si>
  <si>
    <t>5.           M-004</t>
  </si>
  <si>
    <t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t>
  </si>
  <si>
    <t>6.        (J.B.C.D.-5.6.8)</t>
  </si>
  <si>
    <t>7.     5.3.1.1</t>
  </si>
  <si>
    <t>8.                                    5.3.10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</si>
  <si>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</si>
  <si>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9                  5.3.11</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</si>
  <si>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</si>
  <si>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10   J.B.C.D.   5.5.4</t>
  </si>
  <si>
    <t>Providing Tor steel reinforcement of 8mm, 10mm,12mmand 16mmbars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</si>
  <si>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5.5.5(a)</t>
  </si>
  <si>
    <t>11                 5.3.17.1</t>
  </si>
  <si>
    <t>STONE DUST-22KM</t>
  </si>
  <si>
    <t xml:space="preserve">BILL OF QUANTITY </t>
  </si>
  <si>
    <t>Name of Work :- Construction of PCC Road from nizam genral store to house of ikram ansari at elahi bask colony chidhiya gali ward no 12.</t>
  </si>
  <si>
    <t>Sl. No.</t>
  </si>
  <si>
    <t>Items of work</t>
  </si>
  <si>
    <t>Qnty.</t>
  </si>
  <si>
    <t>Rate</t>
  </si>
  <si>
    <t>Amount</t>
  </si>
  <si>
    <t>Labour for cleaning the work site before and after work etc.</t>
  </si>
  <si>
    <t>2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</si>
  <si>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</si>
  <si>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</si>
  <si>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 xml:space="preserve">3
4/M004 </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</si>
  <si>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</si>
  <si>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5.6.8 J.B.C.D</t>
  </si>
  <si>
    <t>Supplying and laying (properly as per design and drawing) rip-rap with good  quality of boulders duly packed including the cost of materials, royalty all taxes etc. but excluding the cost of carriage all complete as per specification and direction of E/I.</t>
  </si>
  <si>
    <t>5
J.B.C.D 5.3.1.1</t>
  </si>
  <si>
    <t>Providing and laying in position cement concrete of specified grade excluding the cost of centering and shutering  All work upto pilith level.1:1.5.3(1 Cement:1.5 coarse sand(zone iii):3graded stone Aggregate 20mm nomial size.</t>
  </si>
  <si>
    <t>6
   J.B.C.D 5.3.17.1</t>
  </si>
  <si>
    <t xml:space="preserve">Centering and shuttering including strutting , etc and removel of form for  foundation, footings bases of column etc for mass concrete.             </t>
  </si>
  <si>
    <t>m2</t>
  </si>
  <si>
    <t>Carriage of Materials</t>
  </si>
  <si>
    <t>i</t>
  </si>
  <si>
    <t>Sand (Lead 42 KM)</t>
  </si>
  <si>
    <t>ii</t>
  </si>
  <si>
    <t>Sand Local / Dust(Lead 25 KM)</t>
  </si>
  <si>
    <t>iii</t>
  </si>
  <si>
    <t>Stone Chips  (Lead 25 KM)</t>
  </si>
  <si>
    <t>iv</t>
  </si>
  <si>
    <t>BOULDER-LEAD-( 29 KM )</t>
  </si>
  <si>
    <t>v</t>
  </si>
  <si>
    <t>Earth (Lead 01 KM)</t>
  </si>
  <si>
    <t>GST (18%)</t>
  </si>
  <si>
    <t>L. CESS (1%)</t>
  </si>
  <si>
    <t>ITEM OF WORK</t>
  </si>
  <si>
    <t>1  5.10.3</t>
  </si>
  <si>
    <t>M3</t>
  </si>
  <si>
    <t>2.            5.1.1 + 5.1.2</t>
  </si>
  <si>
    <t>4.      8.6.8</t>
  </si>
  <si>
    <t>7. 5.5.5 (b)</t>
  </si>
  <si>
    <t>Providing Tor steel reinforcement of 8 mm &amp; 10 mm dia rods as per approved design and drawing  ………..do………TMT Fe500(Only Valid for Tata(Tiscon),Sail,JSPL,Electrosteel Steels Ltd. Bokaro and Vizag(RINL))</t>
  </si>
  <si>
    <t xml:space="preserve"> 10 mm Dia 100%</t>
  </si>
  <si>
    <t>M.T.</t>
  </si>
  <si>
    <t>8  5.3.17.1</t>
  </si>
  <si>
    <t xml:space="preserve">Centering and Shuttering including struting,propping etc and removal of from for                               </t>
  </si>
  <si>
    <t>Foundation, footing s bases of Coloumns etc for mass Concrete</t>
  </si>
  <si>
    <t>M2</t>
  </si>
  <si>
    <r>
      <t>M</t>
    </r>
    <r>
      <rPr>
        <b/>
        <vertAlign val="superscript"/>
        <sz val="10"/>
        <rFont val="Century"/>
        <family val="1"/>
      </rPr>
      <t>3</t>
    </r>
  </si>
  <si>
    <t>Add 18% GST (+) :</t>
  </si>
  <si>
    <t>Grand Total</t>
  </si>
  <si>
    <t>Add 1% Labour Cess (+) :</t>
  </si>
  <si>
    <t xml:space="preserve"> </t>
  </si>
  <si>
    <t>Name of Work :- Laying of bituminous concrete at North office Para from Anthoni chowk via Satyam shivam to bridge and near Hanuman Mandir ( Gouri shanker Nagar) Under ward no.43.</t>
  </si>
  <si>
    <t>1
5.2 (1)</t>
  </si>
  <si>
    <t>Providing and applying TACK COAT with bitumen emulsion using pressure distributor at the rate of 0.20kg/sqm on the prepared bituminious/granular surface cleaned with mechanical broom.</t>
  </si>
  <si>
    <t xml:space="preserve"> 2
5.05(A) GRADING-1</t>
  </si>
  <si>
    <t>Providing and laying bituminous concrete with higher capacity batch type hot mix plant using crushed aggregate of specified grading premixed with bituninous binder @5.2 percent of mix and filler transporting the hot mix to worksite laying with a hydrostatic paver finisher with sensor control to the required grade,leveland alignment,rolling with smooth wheeled,vibrated and tandem rollers to achieve the desired compaction as per MORT&amp;H specification clause no. 507 complete in all respects.</t>
  </si>
  <si>
    <t>3
8.13</t>
  </si>
  <si>
    <t>Road marking with HOT applied Thermoplastic compound with reflectorising  beads on bituminous surface</t>
  </si>
  <si>
    <t>CHIPS-LEAD-15 KM</t>
  </si>
  <si>
    <t>Name of Work :- Construction of PCC Road at Gouri Shanker Nagar From Justice D.N. Prasad house to Rail line mode under Ward NO. 43.</t>
  </si>
  <si>
    <t>1    J.B.C.D.
5.3.1.1</t>
  </si>
  <si>
    <t>Providing P.C.C.M-200 in nominal mix of (1:1.5:3) in foundation with approved quality of stone chips 20mm nominal size graded…………. as per specification and……... direction of E/I.</t>
  </si>
  <si>
    <t>2            5.3.17.1</t>
  </si>
  <si>
    <t>Centering and shuttering including strutting, propping etc. and removal of form for Foundation, footing, bases of columns, etc for mass concrete</t>
  </si>
  <si>
    <t>SAND-LEAD-42KM</t>
  </si>
  <si>
    <t>NAME OF WORK- CONSTRUCTION OF PCC ROAD AT GHAT ROAD NO 1 BY LANE FROM HOUSE OF VINODTO HOUSE GHAT ROAD NO 1 UNDER WARD46.</t>
  </si>
  <si>
    <t xml:space="preserve">Rate      (in Rs.) </t>
  </si>
  <si>
    <t>Amount   (in Rs.)</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</si>
  <si>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</si>
  <si>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</si>
  <si>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 xml:space="preserve">2        4.01   RCD              </t>
  </si>
  <si>
    <t>By Mix in place Method (construction of Granular sub base by providing close graded material ,spreading in uniform layers with motor grader on prepared surface,mixing by mix in place method with rotavator at OMC, and compacting with  vibratory roller to achive the desired density,complete as per clause 401.</t>
  </si>
  <si>
    <t>4   5.3.17</t>
  </si>
  <si>
    <t>JSR
5.3.1.2</t>
  </si>
  <si>
    <t>Providing and laying in position cement concrete of specfied grade excluding the cost of centering and shuttering-All work up to plinth level.1:1.5:3(1Cement:1.5coarse sand(Zone-III): 3 graded stone aggregate 20mm nominal size)</t>
  </si>
  <si>
    <t>CHIPS-LEAD-15KM</t>
  </si>
  <si>
    <t>EARTH-LEAD-1km</t>
  </si>
  <si>
    <t>Add GST 18%</t>
  </si>
  <si>
    <t>Add 1% L/Cess</t>
  </si>
  <si>
    <r>
      <t>NAME OF WORK- :-</t>
    </r>
    <r>
      <rPr>
        <b/>
        <sz val="11"/>
        <color theme="1"/>
        <rFont val="Century"/>
        <family val="1"/>
      </rPr>
      <t>DETAIL ESTIMATE  FOR CONSTRUCTION OF PCC ROAD AT PANCHWATI NAGAR NEAR ITI HOUSE OF SITARAM GOPE TO HOUSE OF RAMDEO JEE UNDER WARD NO-33</t>
    </r>
  </si>
  <si>
    <t>no.</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</si>
  <si>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</si>
  <si>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LOCAL SAND-LEAD-18KM</t>
  </si>
  <si>
    <t>STONE CHIPS-LEAD-15KM</t>
  </si>
  <si>
    <t>BOULDER-LEAD-29KM</t>
  </si>
  <si>
    <t>Add 1% labur case</t>
  </si>
  <si>
    <r>
      <rPr>
        <b/>
        <sz val="12"/>
        <color theme="1"/>
        <rFont val="Century"/>
        <family val="1"/>
      </rPr>
      <t>Name of Work</t>
    </r>
    <r>
      <rPr>
        <sz val="12"/>
        <color theme="1"/>
        <rFont val="Century"/>
        <family val="1"/>
      </rPr>
      <t xml:space="preserve"> :</t>
    </r>
    <r>
      <rPr>
        <sz val="11"/>
        <color theme="1"/>
        <rFont val="Century"/>
        <family val="1"/>
      </rPr>
      <t>-</t>
    </r>
    <r>
      <rPr>
        <b/>
        <sz val="12"/>
        <color theme="1"/>
        <rFont val="Century"/>
        <family val="1"/>
      </rPr>
      <t>CONSTRUCTION OF PCC R0AD AT BATHNIA  DIBDHI HOUSE OF U. SANGA TO HOUSE OF LOLAN TIGGA UNDER WARD NO-36</t>
    </r>
  </si>
  <si>
    <t>NO</t>
  </si>
  <si>
    <t>Add 1% LABUR CASE</t>
  </si>
  <si>
    <t xml:space="preserve">    J.E.</t>
  </si>
  <si>
    <t>A.E</t>
  </si>
  <si>
    <t>R.M.C</t>
  </si>
  <si>
    <t>Item of works</t>
  </si>
  <si>
    <t>No.</t>
  </si>
  <si>
    <t>2       5.1.1.</t>
  </si>
  <si>
    <t>3.           M-004</t>
  </si>
  <si>
    <t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</si>
  <si>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4.       5.6.8 (C.I.W.)</t>
  </si>
  <si>
    <t>5.     5.3.1.1</t>
  </si>
  <si>
    <t xml:space="preserve">Providing and laying in position cement concrete of specified grade excluding the cost of centering and shuttering- All work upto plinth level : 1:1½:3 (1 cemet : 1½ coarse sand (zone-iii) : 3 graded stone aggregate 20mm nominal size )  </t>
  </si>
  <si>
    <t>6               5.3.17.1</t>
  </si>
  <si>
    <t>Centering and shuttering including strutting, propping etc. and removal of from for Foundations, footings, bases of columns, etc. for mass concrete.</t>
  </si>
  <si>
    <t>STONE DUST-LEAD-22KM</t>
  </si>
  <si>
    <t>EARTH-LEAD-01km</t>
  </si>
  <si>
    <t>Nos</t>
  </si>
  <si>
    <t xml:space="preserve">Say </t>
  </si>
</sst>
</file>

<file path=xl/styles.xml><?xml version="1.0" encoding="utf-8"?>
<styleSheet xmlns="http://schemas.openxmlformats.org/spreadsheetml/2006/main">
  <numFmts count="3">
    <numFmt numFmtId="164" formatCode="&quot;₹&quot;\ #,##0.00"/>
    <numFmt numFmtId="165" formatCode="0.0"/>
    <numFmt numFmtId="166" formatCode="0.000"/>
  </numFmts>
  <fonts count="58">
    <font>
      <sz val="14"/>
      <color theme="1"/>
      <name val="Calibri"/>
      <family val="2"/>
      <scheme val="minor"/>
    </font>
    <font>
      <sz val="11"/>
      <color theme="1"/>
      <name val="Calibri"/>
      <family val="2"/>
      <scheme val="minor"/>
    </font>
    <font>
      <b/>
      <sz val="12"/>
      <color theme="1"/>
      <name val="Century"/>
      <family val="1"/>
    </font>
    <font>
      <b/>
      <sz val="10"/>
      <color theme="1"/>
      <name val="Century"/>
      <family val="1"/>
    </font>
    <font>
      <b/>
      <sz val="10"/>
      <color theme="1"/>
      <name val="Calibri"/>
      <family val="2"/>
      <scheme val="minor"/>
    </font>
    <font>
      <b/>
      <sz val="9"/>
      <color theme="1"/>
      <name val="Arial"/>
      <family val="2"/>
    </font>
    <font>
      <sz val="9"/>
      <color theme="1"/>
      <name val="Arial"/>
      <family val="2"/>
    </font>
    <font>
      <sz val="10"/>
      <color theme="1"/>
      <name val="Calibri"/>
      <family val="2"/>
      <scheme val="minor"/>
    </font>
    <font>
      <b/>
      <sz val="9"/>
      <color theme="1"/>
      <name val="Calibri"/>
      <family val="2"/>
      <scheme val="minor"/>
    </font>
    <font>
      <sz val="9"/>
      <color theme="1"/>
      <name val="Calibri"/>
      <family val="2"/>
      <scheme val="minor"/>
    </font>
    <font>
      <sz val="9"/>
      <color indexed="8"/>
      <name val="Tahoma"/>
      <family val="2"/>
    </font>
    <font>
      <sz val="9"/>
      <color indexed="8"/>
      <name val="Calibri"/>
      <family val="2"/>
      <scheme val="minor"/>
    </font>
    <font>
      <b/>
      <sz val="9"/>
      <color theme="1"/>
      <name val="Calibri"/>
      <family val="2"/>
    </font>
    <font>
      <sz val="9"/>
      <color theme="1"/>
      <name val="Calibri"/>
      <family val="2"/>
    </font>
    <font>
      <sz val="10"/>
      <name val="Arial"/>
      <family val="2"/>
    </font>
    <font>
      <b/>
      <u/>
      <sz val="20"/>
      <color theme="1"/>
      <name val="Arial"/>
      <family val="2"/>
    </font>
    <font>
      <b/>
      <u/>
      <sz val="14"/>
      <color theme="1"/>
      <name val="Arial"/>
      <family val="2"/>
    </font>
    <font>
      <b/>
      <sz val="10"/>
      <color theme="1"/>
      <name val="Arial"/>
      <family val="2"/>
    </font>
    <font>
      <b/>
      <sz val="10"/>
      <name val="Arial"/>
      <family val="2"/>
    </font>
    <font>
      <b/>
      <sz val="11"/>
      <color theme="1"/>
      <name val="Arial"/>
      <family val="2"/>
    </font>
    <font>
      <sz val="10"/>
      <color theme="1"/>
      <name val="Arial"/>
      <family val="2"/>
    </font>
    <font>
      <b/>
      <i/>
      <sz val="10"/>
      <color theme="1"/>
      <name val="Arial"/>
      <family val="2"/>
    </font>
    <font>
      <sz val="11"/>
      <color theme="1"/>
      <name val="Arial"/>
      <family val="2"/>
    </font>
    <font>
      <b/>
      <sz val="12"/>
      <color theme="1"/>
      <name val="Arial"/>
      <family val="2"/>
    </font>
    <font>
      <sz val="12"/>
      <color theme="1"/>
      <name val="Arial"/>
      <family val="2"/>
    </font>
    <font>
      <b/>
      <sz val="12"/>
      <name val="Arial"/>
      <family val="2"/>
    </font>
    <font>
      <b/>
      <sz val="18"/>
      <color theme="1"/>
      <name val="Arial"/>
      <family val="2"/>
    </font>
    <font>
      <b/>
      <sz val="14"/>
      <color theme="1"/>
      <name val="Arial"/>
      <family val="2"/>
    </font>
    <font>
      <sz val="11"/>
      <name val="Arial"/>
      <family val="2"/>
    </font>
    <font>
      <b/>
      <u/>
      <sz val="18"/>
      <color theme="1"/>
      <name val="Arial"/>
      <family val="2"/>
    </font>
    <font>
      <b/>
      <u/>
      <sz val="16"/>
      <color theme="1"/>
      <name val="Arial"/>
      <family val="2"/>
    </font>
    <font>
      <b/>
      <sz val="11"/>
      <color theme="1"/>
      <name val="Calibri"/>
      <family val="2"/>
      <scheme val="minor"/>
    </font>
    <font>
      <b/>
      <sz val="14"/>
      <color theme="1"/>
      <name val="Calibri"/>
      <family val="2"/>
      <scheme val="minor"/>
    </font>
    <font>
      <b/>
      <sz val="11"/>
      <color theme="1"/>
      <name val="Century"/>
      <family val="1"/>
    </font>
    <font>
      <b/>
      <sz val="8"/>
      <color theme="1"/>
      <name val="Century"/>
      <family val="1"/>
    </font>
    <font>
      <b/>
      <sz val="16"/>
      <color theme="1"/>
      <name val="Century"/>
      <family val="1"/>
    </font>
    <font>
      <b/>
      <sz val="9"/>
      <color theme="1"/>
      <name val="Century"/>
      <family val="1"/>
    </font>
    <font>
      <b/>
      <sz val="8"/>
      <name val="Century"/>
      <family val="1"/>
    </font>
    <font>
      <b/>
      <sz val="10"/>
      <name val="Century"/>
      <family val="1"/>
    </font>
    <font>
      <b/>
      <vertAlign val="superscript"/>
      <sz val="10"/>
      <name val="Century"/>
      <family val="1"/>
    </font>
    <font>
      <b/>
      <u/>
      <sz val="11"/>
      <color theme="1"/>
      <name val="Cambria"/>
      <family val="1"/>
      <scheme val="major"/>
    </font>
    <font>
      <b/>
      <u/>
      <sz val="11"/>
      <color theme="1"/>
      <name val="Calibri"/>
      <family val="2"/>
      <scheme val="minor"/>
    </font>
    <font>
      <b/>
      <sz val="11"/>
      <color theme="1"/>
      <name val="Calibri"/>
      <family val="2"/>
    </font>
    <font>
      <b/>
      <i/>
      <u/>
      <sz val="11"/>
      <color theme="1"/>
      <name val="Calibri"/>
      <family val="2"/>
      <scheme val="minor"/>
    </font>
    <font>
      <sz val="12"/>
      <color theme="1"/>
      <name val="Calibri"/>
      <family val="2"/>
      <scheme val="minor"/>
    </font>
    <font>
      <sz val="12"/>
      <color theme="1"/>
      <name val="Century"/>
      <family val="1"/>
    </font>
    <font>
      <sz val="11"/>
      <color theme="1"/>
      <name val="Century"/>
      <family val="1"/>
    </font>
    <font>
      <b/>
      <sz val="20"/>
      <color theme="1"/>
      <name val="Century"/>
      <family val="1"/>
    </font>
    <font>
      <b/>
      <sz val="12"/>
      <color theme="1"/>
      <name val="Calibri"/>
      <family val="2"/>
      <scheme val="minor"/>
    </font>
    <font>
      <sz val="12"/>
      <name val="Calibri"/>
      <family val="2"/>
      <scheme val="minor"/>
    </font>
    <font>
      <b/>
      <sz val="11"/>
      <name val="Arial"/>
      <family val="2"/>
    </font>
    <font>
      <b/>
      <sz val="14"/>
      <color theme="1"/>
      <name val="Century"/>
      <family val="1"/>
    </font>
    <font>
      <b/>
      <u/>
      <sz val="11"/>
      <color theme="1"/>
      <name val="Century"/>
      <family val="1"/>
    </font>
    <font>
      <b/>
      <sz val="16"/>
      <color theme="1"/>
      <name val="Arial"/>
      <family val="2"/>
    </font>
    <font>
      <b/>
      <u/>
      <sz val="11"/>
      <color theme="1"/>
      <name val="Arial"/>
      <family val="2"/>
    </font>
    <font>
      <sz val="12"/>
      <name val="Arial"/>
      <family val="2"/>
    </font>
    <font>
      <b/>
      <u/>
      <sz val="10"/>
      <color theme="1"/>
      <name val="Arial"/>
      <family val="2"/>
    </font>
    <font>
      <b/>
      <u/>
      <sz val="10"/>
      <color theme="1"/>
      <name val="Century"/>
      <family val="1"/>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 fillId="0" borderId="0"/>
    <xf numFmtId="0" fontId="14" fillId="0" borderId="0"/>
    <xf numFmtId="0" fontId="14" fillId="0" borderId="0"/>
    <xf numFmtId="0" fontId="1" fillId="0" borderId="0"/>
    <xf numFmtId="0" fontId="14" fillId="0" borderId="0"/>
    <xf numFmtId="0" fontId="1" fillId="0" borderId="0"/>
    <xf numFmtId="0" fontId="14" fillId="0" borderId="0"/>
    <xf numFmtId="0" fontId="14" fillId="0" borderId="0"/>
    <xf numFmtId="0" fontId="14" fillId="0" borderId="0"/>
    <xf numFmtId="0" fontId="1" fillId="0" borderId="0"/>
  </cellStyleXfs>
  <cellXfs count="310">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justify" vertical="top" wrapText="1"/>
    </xf>
    <xf numFmtId="2" fontId="5" fillId="0" borderId="1" xfId="1" applyNumberFormat="1" applyFont="1" applyBorder="1" applyAlignment="1">
      <alignment horizontal="center" vertical="center" wrapText="1"/>
    </xf>
    <xf numFmtId="2" fontId="6"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164" fontId="5" fillId="0" borderId="1" xfId="1" applyNumberFormat="1" applyFont="1" applyBorder="1" applyAlignment="1">
      <alignment horizontal="center" vertical="center"/>
    </xf>
    <xf numFmtId="0" fontId="7" fillId="0" borderId="0" xfId="0" applyFont="1"/>
    <xf numFmtId="0" fontId="8" fillId="0" borderId="1" xfId="0" applyFont="1" applyBorder="1" applyAlignment="1">
      <alignment horizontal="center" vertical="center" wrapText="1"/>
    </xf>
    <xf numFmtId="0" fontId="9" fillId="0" borderId="1" xfId="0" applyFont="1" applyBorder="1" applyAlignment="1">
      <alignment horizontal="justify" vertical="top" wrapText="1"/>
    </xf>
    <xf numFmtId="2" fontId="9" fillId="0" borderId="1" xfId="0" applyNumberFormat="1" applyFont="1" applyBorder="1" applyAlignment="1">
      <alignment horizontal="center" vertical="center"/>
    </xf>
    <xf numFmtId="0" fontId="1" fillId="0" borderId="0" xfId="0" applyFont="1"/>
    <xf numFmtId="0" fontId="10" fillId="2" borderId="1" xfId="0" quotePrefix="1" applyFont="1" applyFill="1" applyBorder="1" applyAlignment="1">
      <alignment horizontal="center" vertical="center" wrapText="1"/>
    </xf>
    <xf numFmtId="0" fontId="11" fillId="2" borderId="1" xfId="0" applyFont="1" applyFill="1" applyBorder="1" applyAlignment="1">
      <alignment horizontal="justify" vertical="top" wrapText="1"/>
    </xf>
    <xf numFmtId="2"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2" fontId="13" fillId="0" borderId="1" xfId="0" applyNumberFormat="1" applyFont="1" applyBorder="1" applyAlignment="1">
      <alignment horizontal="center" vertical="center"/>
    </xf>
    <xf numFmtId="0" fontId="8" fillId="0" borderId="1" xfId="0" applyFont="1" applyBorder="1" applyAlignment="1">
      <alignment horizontal="center" vertical="top"/>
    </xf>
    <xf numFmtId="0" fontId="9" fillId="0" borderId="1" xfId="0" applyFont="1" applyBorder="1" applyAlignment="1">
      <alignment horizontal="justify" vertical="top"/>
    </xf>
    <xf numFmtId="2" fontId="9" fillId="0" borderId="1" xfId="0" applyNumberFormat="1" applyFont="1" applyBorder="1" applyAlignment="1">
      <alignment horizontal="justify" vertical="top"/>
    </xf>
    <xf numFmtId="0" fontId="8" fillId="0" borderId="1" xfId="0" applyFont="1" applyBorder="1" applyAlignment="1">
      <alignment horizontal="center"/>
    </xf>
    <xf numFmtId="0" fontId="8" fillId="0" borderId="1" xfId="0" applyFont="1" applyBorder="1" applyAlignment="1">
      <alignment horizontal="left" vertical="center" wrapText="1"/>
    </xf>
    <xf numFmtId="0" fontId="1" fillId="0" borderId="0" xfId="0" applyFont="1" applyAlignment="1">
      <alignment horizontal="center" vertical="center"/>
    </xf>
    <xf numFmtId="0" fontId="9" fillId="0" borderId="1" xfId="0"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xf numFmtId="0" fontId="8" fillId="0" borderId="1" xfId="0" applyFont="1" applyBorder="1" applyAlignment="1">
      <alignment vertical="top"/>
    </xf>
    <xf numFmtId="0" fontId="1" fillId="0" borderId="1" xfId="0" applyFont="1" applyBorder="1" applyAlignment="1">
      <alignment horizontal="center" vertical="center"/>
    </xf>
    <xf numFmtId="164" fontId="8" fillId="0" borderId="1" xfId="0" applyNumberFormat="1" applyFont="1" applyBorder="1" applyAlignment="1">
      <alignment horizontal="center" vertical="center"/>
    </xf>
    <xf numFmtId="2" fontId="1" fillId="0" borderId="0" xfId="0" applyNumberFormat="1" applyFont="1"/>
    <xf numFmtId="2" fontId="0" fillId="0" borderId="0" xfId="0" applyNumberForma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64" fontId="18" fillId="0" borderId="1" xfId="0" applyNumberFormat="1" applyFont="1" applyBorder="1" applyAlignment="1">
      <alignment horizontal="center" wrapText="1"/>
    </xf>
    <xf numFmtId="0" fontId="19" fillId="0" borderId="1" xfId="0" applyFont="1" applyBorder="1" applyAlignment="1">
      <alignment horizontal="center" vertical="center" wrapText="1"/>
    </xf>
    <xf numFmtId="0" fontId="20" fillId="0" borderId="1" xfId="0" applyFont="1" applyBorder="1" applyAlignment="1">
      <alignment horizontal="justify" vertical="center" wrapText="1"/>
    </xf>
    <xf numFmtId="2" fontId="17"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xf>
    <xf numFmtId="0" fontId="14" fillId="0" borderId="1" xfId="0" applyFont="1" applyBorder="1" applyAlignment="1" applyProtection="1">
      <alignment horizontal="justify" vertical="top"/>
      <protection locked="0"/>
    </xf>
    <xf numFmtId="164" fontId="18" fillId="0" borderId="1" xfId="0" applyNumberFormat="1" applyFont="1" applyBorder="1" applyAlignment="1">
      <alignment horizontal="center" vertical="center"/>
    </xf>
    <xf numFmtId="0" fontId="20" fillId="0" borderId="1" xfId="0" applyFont="1" applyBorder="1" applyAlignment="1">
      <alignment horizontal="justify" vertical="top" wrapText="1"/>
    </xf>
    <xf numFmtId="2"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64" fontId="18" fillId="0" borderId="1" xfId="0" applyNumberFormat="1" applyFont="1" applyBorder="1" applyAlignment="1" applyProtection="1">
      <alignment horizontal="center" vertical="center"/>
      <protection locked="0"/>
    </xf>
    <xf numFmtId="0" fontId="21" fillId="0" borderId="1" xfId="0" applyFont="1" applyBorder="1" applyAlignment="1">
      <alignment horizontal="justify" vertical="center" wrapText="1"/>
    </xf>
    <xf numFmtId="2" fontId="20" fillId="0" borderId="1" xfId="0" applyNumberFormat="1" applyFont="1" applyBorder="1" applyAlignment="1">
      <alignment horizontal="center"/>
    </xf>
    <xf numFmtId="164" fontId="18" fillId="0" borderId="1" xfId="0" applyNumberFormat="1" applyFont="1" applyBorder="1" applyAlignment="1">
      <alignment horizontal="center"/>
    </xf>
    <xf numFmtId="0" fontId="20" fillId="0" borderId="1" xfId="0" applyFont="1" applyBorder="1" applyAlignment="1">
      <alignment horizontal="justify" vertical="center"/>
    </xf>
    <xf numFmtId="2" fontId="20" fillId="0" borderId="1" xfId="0" applyNumberFormat="1" applyFont="1" applyBorder="1" applyAlignment="1">
      <alignment horizontal="justify" vertical="center"/>
    </xf>
    <xf numFmtId="0" fontId="17" fillId="0" borderId="1" xfId="0" applyFont="1" applyBorder="1"/>
    <xf numFmtId="0" fontId="17" fillId="0" borderId="1" xfId="0" applyFont="1" applyBorder="1" applyAlignment="1">
      <alignment horizontal="justify"/>
    </xf>
    <xf numFmtId="0" fontId="17" fillId="0" borderId="0" xfId="0" applyFont="1" applyAlignment="1">
      <alignment horizontal="center" vertical="center"/>
    </xf>
    <xf numFmtId="0" fontId="20" fillId="0" borderId="0" xfId="0" applyFont="1" applyAlignment="1">
      <alignment horizontal="justify"/>
    </xf>
    <xf numFmtId="0" fontId="20" fillId="0" borderId="0" xfId="0" applyFont="1"/>
    <xf numFmtId="164" fontId="18" fillId="0" borderId="0" xfId="0" applyNumberFormat="1" applyFont="1"/>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justify"/>
    </xf>
    <xf numFmtId="0" fontId="24" fillId="0" borderId="0" xfId="0" applyFont="1"/>
    <xf numFmtId="164" fontId="25" fillId="0" borderId="0" xfId="0" applyNumberFormat="1" applyFont="1"/>
    <xf numFmtId="0" fontId="23" fillId="0" borderId="0" xfId="0" applyFont="1" applyAlignment="1">
      <alignment horizontal="justify" vertical="center"/>
    </xf>
    <xf numFmtId="0" fontId="3" fillId="0" borderId="1" xfId="0" applyFont="1" applyBorder="1" applyAlignment="1">
      <alignment horizontal="center" vertical="center" wrapText="1"/>
    </xf>
    <xf numFmtId="0" fontId="19" fillId="0" borderId="1" xfId="0" applyFont="1" applyBorder="1" applyAlignment="1">
      <alignment horizontal="center" vertical="center"/>
    </xf>
    <xf numFmtId="164" fontId="19" fillId="0" borderId="1" xfId="0" applyNumberFormat="1" applyFont="1" applyBorder="1" applyAlignment="1">
      <alignment horizontal="center" vertical="center" wrapText="1"/>
    </xf>
    <xf numFmtId="0" fontId="22" fillId="0" borderId="1" xfId="0" applyFont="1" applyBorder="1" applyAlignment="1">
      <alignment horizontal="justify" vertical="top" wrapText="1"/>
    </xf>
    <xf numFmtId="2" fontId="19" fillId="0" borderId="1" xfId="0" applyNumberFormat="1" applyFont="1" applyBorder="1" applyAlignment="1">
      <alignment horizontal="center" vertical="center"/>
    </xf>
    <xf numFmtId="2" fontId="22" fillId="0" borderId="1" xfId="0" applyNumberFormat="1" applyFont="1" applyBorder="1" applyAlignment="1">
      <alignment horizontal="center" vertical="center"/>
    </xf>
    <xf numFmtId="0" fontId="28" fillId="0" borderId="1" xfId="0" applyFont="1" applyBorder="1" applyAlignment="1" applyProtection="1">
      <alignment horizontal="justify" vertical="top"/>
      <protection locked="0"/>
    </xf>
    <xf numFmtId="0" fontId="22" fillId="0" borderId="1" xfId="0" applyFont="1" applyBorder="1" applyAlignment="1">
      <alignment horizontal="center" vertical="center" wrapText="1"/>
    </xf>
    <xf numFmtId="0" fontId="19" fillId="0" borderId="1" xfId="0" applyFont="1" applyBorder="1" applyAlignment="1">
      <alignment horizontal="justify" vertical="center" wrapText="1"/>
    </xf>
    <xf numFmtId="2" fontId="22" fillId="0" borderId="1" xfId="0" applyNumberFormat="1" applyFont="1" applyBorder="1" applyAlignment="1">
      <alignment horizontal="center"/>
    </xf>
    <xf numFmtId="164" fontId="22" fillId="0" borderId="1" xfId="0" applyNumberFormat="1" applyFont="1" applyBorder="1" applyAlignment="1">
      <alignment horizontal="right"/>
    </xf>
    <xf numFmtId="0" fontId="19" fillId="0" borderId="1" xfId="0" applyFont="1" applyBorder="1" applyAlignment="1">
      <alignment horizontal="center"/>
    </xf>
    <xf numFmtId="0" fontId="22" fillId="0" borderId="1" xfId="0" applyFont="1" applyBorder="1" applyAlignment="1">
      <alignment horizontal="justify" vertical="top"/>
    </xf>
    <xf numFmtId="2" fontId="22" fillId="0" borderId="1" xfId="0" applyNumberFormat="1" applyFont="1" applyBorder="1" applyAlignment="1">
      <alignment horizontal="justify" vertical="top"/>
    </xf>
    <xf numFmtId="0" fontId="19" fillId="0" borderId="1" xfId="0" applyFont="1" applyBorder="1"/>
    <xf numFmtId="0" fontId="19" fillId="0" borderId="0" xfId="0" applyFont="1"/>
    <xf numFmtId="0" fontId="22" fillId="0" borderId="0" xfId="0" applyFont="1" applyAlignment="1">
      <alignment horizontal="left" vertical="top"/>
    </xf>
    <xf numFmtId="164" fontId="22" fillId="0" borderId="0" xfId="0" applyNumberFormat="1" applyFont="1" applyAlignment="1">
      <alignment horizontal="left" vertical="top"/>
    </xf>
    <xf numFmtId="164" fontId="19" fillId="0" borderId="0" xfId="0" applyNumberFormat="1" applyFont="1" applyAlignment="1">
      <alignment horizontal="center" vertical="center"/>
    </xf>
    <xf numFmtId="0" fontId="23" fillId="0" borderId="0" xfId="0" applyFont="1"/>
    <xf numFmtId="0" fontId="24" fillId="0" borderId="0" xfId="0" applyFont="1" applyAlignment="1">
      <alignment horizontal="left" vertical="top"/>
    </xf>
    <xf numFmtId="164" fontId="24" fillId="0" borderId="0" xfId="0" applyNumberFormat="1" applyFont="1" applyAlignment="1">
      <alignment horizontal="left" vertical="top"/>
    </xf>
    <xf numFmtId="164" fontId="27" fillId="0" borderId="0" xfId="0" applyNumberFormat="1" applyFont="1" applyAlignment="1">
      <alignment horizontal="center" vertical="center"/>
    </xf>
    <xf numFmtId="0" fontId="22" fillId="0" borderId="0" xfId="0" applyFont="1"/>
    <xf numFmtId="164" fontId="22" fillId="0" borderId="0" xfId="0" applyNumberFormat="1" applyFont="1"/>
    <xf numFmtId="0" fontId="27" fillId="0" borderId="0" xfId="0" applyFont="1" applyAlignment="1">
      <alignment horizontal="left" vertical="center"/>
    </xf>
    <xf numFmtId="0" fontId="27" fillId="0" borderId="0" xfId="0" applyFont="1" applyAlignment="1">
      <alignment horizontal="center"/>
    </xf>
    <xf numFmtId="164" fontId="0" fillId="0" borderId="0" xfId="0" applyNumberFormat="1"/>
    <xf numFmtId="0" fontId="5" fillId="0" borderId="1" xfId="0" applyFont="1" applyBorder="1" applyAlignment="1">
      <alignment horizontal="center" vertical="center" wrapText="1"/>
    </xf>
    <xf numFmtId="2" fontId="20" fillId="0" borderId="1" xfId="0" applyNumberFormat="1" applyFont="1" applyBorder="1" applyAlignment="1">
      <alignment horizontal="center" vertical="top"/>
    </xf>
    <xf numFmtId="0" fontId="20" fillId="0" borderId="1" xfId="0" applyFont="1" applyBorder="1" applyAlignment="1">
      <alignment horizontal="justify" wrapText="1"/>
    </xf>
    <xf numFmtId="0" fontId="14" fillId="0" borderId="0" xfId="0" applyFont="1" applyAlignment="1">
      <alignment horizontal="justify" vertical="top" wrapText="1"/>
    </xf>
    <xf numFmtId="2"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14" fillId="0" borderId="1" xfId="0" applyFont="1" applyBorder="1" applyAlignment="1">
      <alignment horizontal="justify" vertical="top" wrapText="1"/>
    </xf>
    <xf numFmtId="0" fontId="31" fillId="0" borderId="0" xfId="0" applyFont="1" applyAlignment="1">
      <alignment horizontal="center" vertical="center"/>
    </xf>
    <xf numFmtId="0" fontId="33" fillId="0" borderId="1" xfId="0" applyFont="1" applyBorder="1" applyAlignment="1">
      <alignment horizontal="center" vertical="center" wrapText="1"/>
    </xf>
    <xf numFmtId="1" fontId="31" fillId="0" borderId="1" xfId="0" applyNumberFormat="1" applyFont="1" applyBorder="1" applyAlignment="1">
      <alignment horizontal="center" vertical="center" wrapText="1"/>
    </xf>
    <xf numFmtId="2" fontId="31" fillId="0" borderId="1" xfId="0" applyNumberFormat="1" applyFont="1" applyBorder="1" applyAlignment="1">
      <alignment horizontal="center" vertical="center" wrapText="1"/>
    </xf>
    <xf numFmtId="1" fontId="31"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1" fontId="31" fillId="0" borderId="0" xfId="0" applyNumberFormat="1" applyFont="1" applyAlignment="1">
      <alignment horizontal="center" vertical="center"/>
    </xf>
    <xf numFmtId="0" fontId="31" fillId="0" borderId="0" xfId="0" applyFont="1" applyAlignment="1">
      <alignment horizontal="center" vertical="center" wrapText="1"/>
    </xf>
    <xf numFmtId="1" fontId="31" fillId="0" borderId="0" xfId="0" applyNumberFormat="1" applyFont="1" applyAlignment="1">
      <alignment horizontal="center" vertical="center" wrapText="1"/>
    </xf>
    <xf numFmtId="2" fontId="31" fillId="0" borderId="0" xfId="0" applyNumberFormat="1" applyFont="1" applyAlignment="1">
      <alignment horizontal="center" vertical="center"/>
    </xf>
    <xf numFmtId="0" fontId="34" fillId="0" borderId="2" xfId="0" applyFont="1" applyBorder="1"/>
    <xf numFmtId="0" fontId="34" fillId="0" borderId="1" xfId="0" applyFont="1" applyBorder="1" applyAlignment="1">
      <alignment horizontal="center" vertical="center" wrapText="1"/>
    </xf>
    <xf numFmtId="0" fontId="36" fillId="0" borderId="1" xfId="0" applyFont="1" applyBorder="1" applyAlignment="1">
      <alignment horizontal="center" vertical="center" wrapText="1"/>
    </xf>
    <xf numFmtId="2" fontId="36" fillId="0" borderId="1" xfId="0" applyNumberFormat="1" applyFont="1" applyBorder="1" applyAlignment="1">
      <alignment horizontal="center" vertical="center"/>
    </xf>
    <xf numFmtId="0" fontId="36" fillId="0" borderId="1" xfId="0" applyFont="1" applyBorder="1" applyAlignment="1">
      <alignment vertical="top" wrapText="1"/>
    </xf>
    <xf numFmtId="0" fontId="36" fillId="0" borderId="1" xfId="0" applyFont="1" applyBorder="1" applyAlignment="1">
      <alignment horizontal="center" vertical="center"/>
    </xf>
    <xf numFmtId="0" fontId="17" fillId="0" borderId="1" xfId="0" applyFont="1" applyBorder="1" applyAlignment="1">
      <alignment horizontal="justify" vertical="top" wrapText="1"/>
    </xf>
    <xf numFmtId="0" fontId="3" fillId="0" borderId="1" xfId="0" applyFont="1" applyBorder="1" applyAlignment="1">
      <alignment horizontal="left" vertical="top" wrapText="1"/>
    </xf>
    <xf numFmtId="2" fontId="3" fillId="0" borderId="1" xfId="0" applyNumberFormat="1" applyFont="1" applyBorder="1" applyAlignment="1">
      <alignment horizontal="center" vertical="center" wrapText="1"/>
    </xf>
    <xf numFmtId="0" fontId="37" fillId="0" borderId="1" xfId="0" applyNumberFormat="1" applyFont="1" applyBorder="1" applyAlignment="1">
      <alignment horizontal="left" vertical="top" wrapText="1"/>
    </xf>
    <xf numFmtId="165" fontId="3" fillId="0" borderId="1" xfId="0" applyNumberFormat="1" applyFont="1" applyBorder="1" applyAlignment="1">
      <alignment horizontal="center" vertical="center" wrapText="1"/>
    </xf>
    <xf numFmtId="0" fontId="36" fillId="0" borderId="1" xfId="0" applyFont="1" applyBorder="1" applyAlignment="1">
      <alignment horizontal="center" vertical="top" wrapText="1"/>
    </xf>
    <xf numFmtId="0" fontId="3" fillId="0" borderId="6" xfId="0" applyFont="1" applyBorder="1" applyAlignment="1">
      <alignment vertical="top" wrapText="1"/>
    </xf>
    <xf numFmtId="0" fontId="31" fillId="0" borderId="0" xfId="0" applyFont="1" applyAlignment="1">
      <alignment vertical="center"/>
    </xf>
    <xf numFmtId="2" fontId="34"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36"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1" xfId="0" applyFont="1" applyBorder="1" applyAlignment="1">
      <alignment vertical="top" wrapText="1"/>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3" fillId="0" borderId="1" xfId="0" applyFont="1" applyBorder="1" applyAlignment="1">
      <alignment horizontal="center" vertical="top" wrapText="1"/>
    </xf>
    <xf numFmtId="0" fontId="3" fillId="0" borderId="1" xfId="0" applyFont="1" applyBorder="1" applyAlignment="1">
      <alignment horizontal="center" vertical="top" wrapText="1"/>
    </xf>
    <xf numFmtId="0" fontId="36" fillId="0" borderId="1" xfId="0" applyFont="1" applyFill="1" applyBorder="1" applyAlignment="1">
      <alignment horizontal="center" vertical="top" wrapText="1"/>
    </xf>
    <xf numFmtId="0" fontId="38" fillId="0" borderId="1" xfId="0" applyFont="1" applyBorder="1" applyAlignment="1">
      <alignment horizontal="center"/>
    </xf>
    <xf numFmtId="0" fontId="31" fillId="0" borderId="1" xfId="0" applyFont="1" applyBorder="1" applyAlignment="1">
      <alignment horizontal="center"/>
    </xf>
    <xf numFmtId="2" fontId="31" fillId="0" borderId="1" xfId="0" applyNumberFormat="1" applyFont="1" applyBorder="1" applyAlignment="1">
      <alignment horizontal="center"/>
    </xf>
    <xf numFmtId="165" fontId="3" fillId="0" borderId="1"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0" fontId="3" fillId="0" borderId="1" xfId="0" applyFont="1" applyBorder="1" applyAlignment="1">
      <alignment horizontal="center" wrapText="1"/>
    </xf>
    <xf numFmtId="2" fontId="3" fillId="0" borderId="1" xfId="0" applyNumberFormat="1" applyFont="1" applyBorder="1" applyAlignment="1">
      <alignment horizontal="center" wrapText="1"/>
    </xf>
    <xf numFmtId="2" fontId="34" fillId="0" borderId="1" xfId="0" applyNumberFormat="1" applyFont="1" applyBorder="1" applyAlignment="1"/>
    <xf numFmtId="0" fontId="31" fillId="0" borderId="1" xfId="0" applyFont="1" applyBorder="1" applyAlignment="1">
      <alignment vertical="center"/>
    </xf>
    <xf numFmtId="0" fontId="31" fillId="0" borderId="1" xfId="0" applyFont="1" applyBorder="1" applyAlignment="1">
      <alignment wrapText="1"/>
    </xf>
    <xf numFmtId="0" fontId="31" fillId="0" borderId="1" xfId="0" applyFont="1" applyBorder="1" applyAlignment="1">
      <alignment horizontal="center" wrapText="1"/>
    </xf>
    <xf numFmtId="0" fontId="31" fillId="0" borderId="1" xfId="0" applyFont="1" applyBorder="1" applyAlignment="1">
      <alignment vertical="top" wrapText="1"/>
    </xf>
    <xf numFmtId="2" fontId="31" fillId="0" borderId="1" xfId="0" applyNumberFormat="1" applyFont="1" applyBorder="1" applyAlignment="1">
      <alignment horizontal="center" vertical="center"/>
    </xf>
    <xf numFmtId="0" fontId="31" fillId="0" borderId="1" xfId="0" applyFont="1" applyBorder="1"/>
    <xf numFmtId="0" fontId="42" fillId="0" borderId="1" xfId="0" applyFont="1" applyBorder="1" applyAlignment="1">
      <alignment horizontal="left" vertical="top" wrapText="1"/>
    </xf>
    <xf numFmtId="166" fontId="31" fillId="0" borderId="1" xfId="0" applyNumberFormat="1" applyFont="1" applyBorder="1" applyAlignment="1">
      <alignment horizontal="center" vertical="center"/>
    </xf>
    <xf numFmtId="0" fontId="43" fillId="0" borderId="1" xfId="0" applyFont="1" applyBorder="1" applyAlignment="1">
      <alignment horizontal="center" vertical="center" wrapText="1"/>
    </xf>
    <xf numFmtId="2" fontId="31" fillId="0" borderId="1" xfId="0" applyNumberFormat="1" applyFont="1" applyBorder="1" applyAlignment="1">
      <alignment horizontal="right"/>
    </xf>
    <xf numFmtId="2" fontId="31" fillId="0" borderId="1" xfId="0" applyNumberFormat="1" applyFont="1" applyBorder="1" applyAlignment="1">
      <alignment horizontal="right" vertical="center"/>
    </xf>
    <xf numFmtId="0" fontId="31" fillId="0" borderId="3" xfId="0" applyFont="1" applyBorder="1" applyAlignment="1">
      <alignment horizontal="right"/>
    </xf>
    <xf numFmtId="0" fontId="31" fillId="0" borderId="4" xfId="0" applyFont="1" applyBorder="1" applyAlignment="1">
      <alignment horizontal="right"/>
    </xf>
    <xf numFmtId="0" fontId="44" fillId="0" borderId="0" xfId="0" applyFont="1" applyAlignment="1">
      <alignment horizontal="center" vertical="center"/>
    </xf>
    <xf numFmtId="0" fontId="44" fillId="0" borderId="0" xfId="0" applyFont="1"/>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22" fillId="0" borderId="1" xfId="0" applyFont="1" applyBorder="1" applyAlignment="1">
      <alignment horizontal="justify" vertical="center" wrapText="1"/>
    </xf>
    <xf numFmtId="164" fontId="23" fillId="0" borderId="1" xfId="0" applyNumberFormat="1" applyFont="1" applyBorder="1" applyAlignment="1">
      <alignment horizontal="center" vertical="center" wrapText="1"/>
    </xf>
    <xf numFmtId="0" fontId="44" fillId="0" borderId="1" xfId="0" applyFont="1" applyBorder="1" applyAlignment="1">
      <alignment horizontal="justify" vertical="top" wrapText="1"/>
    </xf>
    <xf numFmtId="2" fontId="48" fillId="0" borderId="1" xfId="0" applyNumberFormat="1" applyFont="1" applyBorder="1" applyAlignment="1">
      <alignment horizontal="center" vertical="center"/>
    </xf>
    <xf numFmtId="2" fontId="44" fillId="0" borderId="1" xfId="0" applyNumberFormat="1" applyFont="1" applyBorder="1" applyAlignment="1">
      <alignment horizontal="center" vertical="center"/>
    </xf>
    <xf numFmtId="0" fontId="49" fillId="0" borderId="1" xfId="0" applyFont="1" applyBorder="1" applyAlignment="1" applyProtection="1">
      <alignment horizontal="justify" vertical="top"/>
      <protection locked="0"/>
    </xf>
    <xf numFmtId="0" fontId="44" fillId="0" borderId="1" xfId="0" applyFont="1" applyBorder="1" applyAlignment="1">
      <alignment horizontal="center" vertical="center" wrapText="1"/>
    </xf>
    <xf numFmtId="2" fontId="48" fillId="0" borderId="1" xfId="0" applyNumberFormat="1" applyFont="1" applyBorder="1" applyAlignment="1">
      <alignment horizontal="center" vertical="center" wrapText="1"/>
    </xf>
    <xf numFmtId="0" fontId="48" fillId="0" borderId="1" xfId="0" applyFont="1" applyBorder="1" applyAlignment="1">
      <alignment horizontal="justify" vertical="center" wrapText="1"/>
    </xf>
    <xf numFmtId="2" fontId="44" fillId="0" borderId="1" xfId="0" applyNumberFormat="1" applyFont="1" applyBorder="1" applyAlignment="1">
      <alignment horizontal="center"/>
    </xf>
    <xf numFmtId="2" fontId="44" fillId="0" borderId="1" xfId="0" applyNumberFormat="1" applyFont="1" applyBorder="1" applyAlignment="1">
      <alignment horizontal="right"/>
    </xf>
    <xf numFmtId="0" fontId="48" fillId="0" borderId="1" xfId="0" applyFont="1" applyBorder="1" applyAlignment="1">
      <alignment horizontal="center"/>
    </xf>
    <xf numFmtId="0" fontId="44" fillId="0" borderId="1" xfId="0" applyFont="1" applyBorder="1" applyAlignment="1">
      <alignment horizontal="justify" vertical="top"/>
    </xf>
    <xf numFmtId="2" fontId="19" fillId="0" borderId="1" xfId="0" applyNumberFormat="1" applyFont="1" applyBorder="1" applyAlignment="1">
      <alignment horizontal="center" vertical="center" wrapText="1"/>
    </xf>
    <xf numFmtId="2" fontId="44" fillId="0" borderId="1" xfId="0" applyNumberFormat="1" applyFont="1" applyBorder="1" applyAlignment="1">
      <alignment horizontal="justify" vertical="top"/>
    </xf>
    <xf numFmtId="0" fontId="48" fillId="0" borderId="1" xfId="0" applyFont="1" applyBorder="1"/>
    <xf numFmtId="164" fontId="48" fillId="0" borderId="1" xfId="0" applyNumberFormat="1" applyFont="1" applyBorder="1" applyAlignment="1">
      <alignment horizontal="center" vertical="center"/>
    </xf>
    <xf numFmtId="164" fontId="32" fillId="0" borderId="1" xfId="0" applyNumberFormat="1" applyFont="1" applyBorder="1" applyAlignment="1">
      <alignment horizontal="center" vertical="center"/>
    </xf>
    <xf numFmtId="0" fontId="48" fillId="0" borderId="0" xfId="0" applyFont="1" applyBorder="1"/>
    <xf numFmtId="0" fontId="44" fillId="0" borderId="0" xfId="0" applyFont="1" applyBorder="1" applyAlignment="1">
      <alignment horizontal="left" vertical="top"/>
    </xf>
    <xf numFmtId="164" fontId="32" fillId="0" borderId="0" xfId="0" applyNumberFormat="1" applyFont="1" applyBorder="1" applyAlignment="1">
      <alignment horizontal="center" vertical="center"/>
    </xf>
    <xf numFmtId="0" fontId="0" fillId="0" borderId="0" xfId="0" applyAlignment="1">
      <alignment horizontal="center" vertical="center"/>
    </xf>
    <xf numFmtId="0" fontId="32" fillId="0" borderId="0" xfId="0" applyFont="1" applyAlignment="1">
      <alignment horizontal="left" vertical="center"/>
    </xf>
    <xf numFmtId="0" fontId="32" fillId="0" borderId="0" xfId="0" applyFont="1" applyAlignment="1">
      <alignment horizontal="center"/>
    </xf>
    <xf numFmtId="0" fontId="32" fillId="0" borderId="0" xfId="0" applyFont="1" applyAlignment="1">
      <alignment horizontal="center" vertical="center"/>
    </xf>
    <xf numFmtId="2" fontId="22" fillId="0" borderId="1" xfId="0" applyNumberFormat="1" applyFont="1" applyBorder="1" applyAlignment="1">
      <alignment horizontal="center" vertical="center" wrapText="1"/>
    </xf>
    <xf numFmtId="164" fontId="50" fillId="0" borderId="1" xfId="0" applyNumberFormat="1" applyFont="1" applyBorder="1" applyAlignment="1">
      <alignment horizontal="center" vertical="center" wrapText="1"/>
    </xf>
    <xf numFmtId="164" fontId="50" fillId="0" borderId="1" xfId="0" applyNumberFormat="1" applyFont="1" applyBorder="1" applyAlignment="1" applyProtection="1">
      <alignment horizontal="center" vertical="center"/>
      <protection locked="0"/>
    </xf>
    <xf numFmtId="164" fontId="23" fillId="0" borderId="1" xfId="0" applyNumberFormat="1" applyFont="1" applyBorder="1" applyAlignment="1">
      <alignment horizontal="center" vertical="center"/>
    </xf>
    <xf numFmtId="0" fontId="19" fillId="0" borderId="1" xfId="0" applyFont="1" applyBorder="1" applyAlignment="1">
      <alignment horizontal="justify" vertical="top" wrapText="1"/>
    </xf>
    <xf numFmtId="2" fontId="22" fillId="0" borderId="1" xfId="0" applyNumberFormat="1" applyFont="1" applyBorder="1" applyAlignment="1">
      <alignment horizontal="right"/>
    </xf>
    <xf numFmtId="0" fontId="19" fillId="0" borderId="1" xfId="0" applyFont="1" applyBorder="1" applyAlignment="1">
      <alignment horizontal="justify" vertical="top"/>
    </xf>
    <xf numFmtId="0" fontId="31" fillId="0" borderId="0" xfId="0" applyFont="1"/>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justify" vertical="top" wrapText="1"/>
    </xf>
    <xf numFmtId="2" fontId="23" fillId="0" borderId="1" xfId="0" applyNumberFormat="1" applyFont="1" applyBorder="1" applyAlignment="1">
      <alignment horizontal="center" vertical="center"/>
    </xf>
    <xf numFmtId="2" fontId="24" fillId="0" borderId="1" xfId="0" applyNumberFormat="1" applyFont="1" applyBorder="1" applyAlignment="1">
      <alignment horizontal="center" vertical="center"/>
    </xf>
    <xf numFmtId="0" fontId="55" fillId="0" borderId="1" xfId="0" applyFont="1" applyBorder="1" applyAlignment="1" applyProtection="1">
      <alignment horizontal="justify" vertical="top"/>
      <protection locked="0"/>
    </xf>
    <xf numFmtId="0" fontId="24" fillId="0" borderId="1" xfId="0" applyFont="1" applyBorder="1" applyAlignment="1">
      <alignment horizontal="center" vertical="center" wrapText="1"/>
    </xf>
    <xf numFmtId="0" fontId="23" fillId="0" borderId="1" xfId="0" applyFont="1" applyBorder="1" applyAlignment="1">
      <alignment horizontal="justify" vertical="center" wrapText="1"/>
    </xf>
    <xf numFmtId="2" fontId="24" fillId="0" borderId="1" xfId="0" applyNumberFormat="1" applyFont="1" applyBorder="1" applyAlignment="1">
      <alignment horizontal="center"/>
    </xf>
    <xf numFmtId="2" fontId="24" fillId="0" borderId="1" xfId="0" applyNumberFormat="1" applyFont="1" applyBorder="1" applyAlignment="1">
      <alignment horizontal="right"/>
    </xf>
    <xf numFmtId="0" fontId="23" fillId="0" borderId="1" xfId="0" applyFont="1" applyBorder="1" applyAlignment="1">
      <alignment horizontal="center"/>
    </xf>
    <xf numFmtId="0" fontId="24" fillId="0" borderId="1" xfId="0" applyFont="1" applyBorder="1" applyAlignment="1">
      <alignment horizontal="justify" vertical="top"/>
    </xf>
    <xf numFmtId="2" fontId="24" fillId="0" borderId="1" xfId="0" applyNumberFormat="1" applyFont="1" applyBorder="1" applyAlignment="1">
      <alignment horizontal="justify" vertical="top"/>
    </xf>
    <xf numFmtId="0" fontId="23" fillId="0" borderId="1" xfId="0" applyFont="1" applyBorder="1"/>
    <xf numFmtId="0" fontId="48" fillId="0" borderId="0" xfId="0" applyFont="1"/>
    <xf numFmtId="0" fontId="44" fillId="0" borderId="0" xfId="0" applyFont="1" applyAlignment="1">
      <alignment horizontal="left" vertical="top"/>
    </xf>
    <xf numFmtId="164" fontId="32" fillId="0" borderId="0" xfId="0" applyNumberFormat="1" applyFont="1" applyAlignment="1">
      <alignment horizontal="center" vertical="center"/>
    </xf>
    <xf numFmtId="2" fontId="23" fillId="0" borderId="1" xfId="0" applyNumberFormat="1" applyFont="1" applyBorder="1" applyAlignment="1">
      <alignment horizontal="center" vertical="center" wrapText="1"/>
    </xf>
    <xf numFmtId="0" fontId="48" fillId="0" borderId="0" xfId="0" applyFont="1" applyAlignment="1">
      <alignment horizontal="left" vertical="top"/>
    </xf>
    <xf numFmtId="2" fontId="5" fillId="0" borderId="1" xfId="0" applyNumberFormat="1" applyFont="1" applyBorder="1" applyAlignment="1">
      <alignment horizontal="center" vertical="center"/>
    </xf>
    <xf numFmtId="2" fontId="6" fillId="0" borderId="1" xfId="0" applyNumberFormat="1" applyFont="1" applyBorder="1" applyAlignment="1">
      <alignment horizontal="right"/>
    </xf>
    <xf numFmtId="2" fontId="5"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6" fillId="0" borderId="2" xfId="0" applyFont="1" applyBorder="1" applyAlignment="1">
      <alignment horizontal="right"/>
    </xf>
    <xf numFmtId="0" fontId="36" fillId="0" borderId="3" xfId="0" applyFont="1" applyBorder="1" applyAlignment="1">
      <alignment horizontal="right"/>
    </xf>
    <xf numFmtId="0" fontId="36" fillId="0" borderId="4" xfId="0" applyFont="1" applyBorder="1" applyAlignment="1">
      <alignment horizontal="right"/>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3" fillId="0" borderId="3" xfId="0" applyFont="1" applyBorder="1" applyAlignment="1">
      <alignment vertical="top" wrapText="1"/>
    </xf>
    <xf numFmtId="0" fontId="33" fillId="0" borderId="4" xfId="0" applyFont="1" applyBorder="1" applyAlignment="1">
      <alignment vertical="top"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17" fillId="0" borderId="2" xfId="0" applyFont="1" applyBorder="1" applyAlignment="1">
      <alignment horizontal="right"/>
    </xf>
    <xf numFmtId="0" fontId="17" fillId="0" borderId="3" xfId="0" applyFont="1" applyBorder="1" applyAlignment="1">
      <alignment horizontal="right"/>
    </xf>
    <xf numFmtId="0" fontId="17" fillId="0" borderId="4" xfId="0" applyFont="1" applyBorder="1" applyAlignment="1">
      <alignment horizontal="right"/>
    </xf>
    <xf numFmtId="0" fontId="15" fillId="0" borderId="5" xfId="0" applyFont="1" applyBorder="1" applyAlignment="1">
      <alignment horizontal="center" vertical="top" wrapText="1"/>
    </xf>
    <xf numFmtId="0" fontId="16" fillId="0" borderId="5" xfId="0" applyFont="1" applyBorder="1" applyAlignment="1">
      <alignment horizontal="center" vertical="top" wrapText="1"/>
    </xf>
    <xf numFmtId="0" fontId="56" fillId="0" borderId="3" xfId="0" applyFont="1" applyBorder="1" applyAlignment="1">
      <alignment horizontal="left" vertical="center" wrapText="1"/>
    </xf>
    <xf numFmtId="0" fontId="17" fillId="0" borderId="2" xfId="0" applyFont="1" applyBorder="1" applyAlignment="1">
      <alignment horizontal="right" wrapText="1"/>
    </xf>
    <xf numFmtId="0" fontId="17" fillId="0" borderId="3" xfId="0" applyFont="1" applyBorder="1" applyAlignment="1">
      <alignment horizontal="right" wrapText="1"/>
    </xf>
    <xf numFmtId="0" fontId="17" fillId="0" borderId="4" xfId="0" applyFont="1" applyBorder="1" applyAlignment="1">
      <alignment horizontal="right" wrapText="1"/>
    </xf>
    <xf numFmtId="0" fontId="22" fillId="0" borderId="3" xfId="0" applyFont="1" applyBorder="1" applyAlignment="1">
      <alignment horizontal="left" vertical="top"/>
    </xf>
    <xf numFmtId="0" fontId="22" fillId="0" borderId="4" xfId="0" applyFont="1" applyBorder="1" applyAlignment="1">
      <alignment horizontal="left" vertical="top"/>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22" fillId="0" borderId="2" xfId="0" applyFont="1" applyBorder="1" applyAlignment="1">
      <alignment horizontal="left" vertical="top"/>
    </xf>
    <xf numFmtId="0" fontId="29" fillId="0" borderId="5" xfId="0" applyFont="1" applyBorder="1" applyAlignment="1">
      <alignment horizontal="center" vertical="top" wrapText="1"/>
    </xf>
    <xf numFmtId="0" fontId="16" fillId="0" borderId="1" xfId="0" applyFont="1" applyBorder="1" applyAlignment="1">
      <alignment horizontal="center" vertical="top" wrapText="1"/>
    </xf>
    <xf numFmtId="0" fontId="54" fillId="0" borderId="1" xfId="0" applyFont="1" applyBorder="1" applyAlignment="1">
      <alignment horizontal="left" vertical="center" wrapText="1"/>
    </xf>
    <xf numFmtId="0" fontId="30" fillId="0" borderId="5" xfId="0" applyFont="1" applyBorder="1" applyAlignment="1">
      <alignment horizontal="center" vertical="top" wrapText="1"/>
    </xf>
    <xf numFmtId="0" fontId="19" fillId="0" borderId="3" xfId="0" applyFont="1" applyBorder="1" applyAlignment="1">
      <alignment horizontal="left" vertical="center" wrapText="1"/>
    </xf>
    <xf numFmtId="0" fontId="44" fillId="0" borderId="3" xfId="0" applyFont="1" applyBorder="1" applyAlignment="1">
      <alignment horizontal="left" vertical="top"/>
    </xf>
    <xf numFmtId="0" fontId="44" fillId="0" borderId="4" xfId="0" applyFont="1" applyBorder="1" applyAlignment="1">
      <alignment horizontal="left" vertical="top"/>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35" fillId="0" borderId="2" xfId="0" applyFont="1" applyBorder="1" applyAlignment="1">
      <alignment horizontal="center" vertical="center"/>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44" fillId="0" borderId="2" xfId="0" applyFont="1" applyBorder="1" applyAlignment="1">
      <alignment horizontal="left" vertical="top"/>
    </xf>
    <xf numFmtId="0" fontId="19" fillId="0" borderId="1" xfId="0" applyFont="1" applyBorder="1" applyAlignment="1">
      <alignment horizontal="right" vertical="top"/>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19" fillId="0" borderId="1" xfId="0" applyFont="1" applyBorder="1" applyAlignment="1">
      <alignment horizontal="right" vertical="center"/>
    </xf>
    <xf numFmtId="0" fontId="35" fillId="0" borderId="8" xfId="0" applyFont="1" applyBorder="1" applyAlignment="1">
      <alignment horizontal="center" vertical="center"/>
    </xf>
    <xf numFmtId="0" fontId="35" fillId="0" borderId="0" xfId="0" applyFont="1" applyAlignment="1">
      <alignment horizontal="center" vertical="center"/>
    </xf>
    <xf numFmtId="0" fontId="51" fillId="0" borderId="8" xfId="0" applyFont="1" applyBorder="1" applyAlignment="1">
      <alignment horizontal="center" vertical="center"/>
    </xf>
    <xf numFmtId="0" fontId="51" fillId="0" borderId="0" xfId="0" applyFont="1" applyAlignment="1">
      <alignment horizontal="center" vertical="center"/>
    </xf>
    <xf numFmtId="0" fontId="52" fillId="0" borderId="9" xfId="0" applyFont="1" applyBorder="1" applyAlignment="1">
      <alignment horizontal="center" vertical="top" wrapText="1"/>
    </xf>
    <xf numFmtId="0" fontId="52" fillId="0" borderId="5" xfId="0" applyFont="1" applyBorder="1" applyAlignment="1">
      <alignment horizontal="center" vertical="top" wrapText="1"/>
    </xf>
    <xf numFmtId="0" fontId="46" fillId="0" borderId="1" xfId="0" applyFont="1" applyBorder="1" applyAlignment="1">
      <alignment horizontal="center" vertical="top" wrapText="1"/>
    </xf>
    <xf numFmtId="0" fontId="24" fillId="0" borderId="3" xfId="0" applyFont="1" applyBorder="1" applyAlignment="1">
      <alignment horizontal="right" vertical="top"/>
    </xf>
    <xf numFmtId="0" fontId="24" fillId="0" borderId="4" xfId="0" applyFont="1" applyBorder="1" applyAlignment="1">
      <alignment horizontal="right" vertical="top"/>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54" fillId="0" borderId="1" xfId="0" applyFont="1" applyBorder="1" applyAlignment="1">
      <alignment horizontal="center" vertical="top" wrapText="1"/>
    </xf>
    <xf numFmtId="0" fontId="24" fillId="0" borderId="2" xfId="0" applyFont="1" applyBorder="1" applyAlignment="1">
      <alignment horizontal="right" vertical="top"/>
    </xf>
    <xf numFmtId="0" fontId="31" fillId="0" borderId="3" xfId="0" applyFont="1" applyBorder="1" applyAlignment="1">
      <alignment horizontal="right"/>
    </xf>
    <xf numFmtId="0" fontId="31" fillId="0" borderId="4" xfId="0" applyFont="1" applyBorder="1" applyAlignment="1">
      <alignment horizontal="right"/>
    </xf>
    <xf numFmtId="0" fontId="40" fillId="0" borderId="5" xfId="0" applyFont="1" applyBorder="1" applyAlignment="1">
      <alignment horizontal="center" vertical="top" wrapText="1"/>
    </xf>
    <xf numFmtId="0" fontId="41" fillId="0" borderId="5" xfId="0" applyFont="1" applyBorder="1" applyAlignment="1">
      <alignment horizontal="center" vertical="top" wrapText="1"/>
    </xf>
    <xf numFmtId="0" fontId="40" fillId="4" borderId="3" xfId="0" applyFont="1" applyFill="1" applyBorder="1" applyAlignment="1">
      <alignment horizontal="center" vertical="top" wrapText="1"/>
    </xf>
    <xf numFmtId="0" fontId="31" fillId="0" borderId="3" xfId="0" applyFont="1" applyBorder="1" applyAlignment="1">
      <alignment horizontal="left" vertical="top" wrapText="1"/>
    </xf>
    <xf numFmtId="0" fontId="56" fillId="0" borderId="2" xfId="0" applyFont="1" applyBorder="1" applyAlignment="1">
      <alignment horizontal="center" vertical="top" wrapText="1"/>
    </xf>
    <xf numFmtId="0" fontId="56" fillId="0" borderId="3" xfId="0" applyFont="1" applyBorder="1" applyAlignment="1">
      <alignment horizontal="center" vertical="top" wrapText="1"/>
    </xf>
    <xf numFmtId="0" fontId="56" fillId="0" borderId="4" xfId="0" applyFont="1" applyBorder="1" applyAlignment="1">
      <alignment horizontal="center" vertical="top" wrapText="1"/>
    </xf>
    <xf numFmtId="0" fontId="57" fillId="0" borderId="2" xfId="0" applyFont="1" applyBorder="1" applyAlignment="1">
      <alignment horizontal="left" vertical="top" wrapText="1"/>
    </xf>
    <xf numFmtId="0" fontId="57" fillId="0" borderId="3" xfId="0" applyFont="1" applyBorder="1" applyAlignment="1">
      <alignment horizontal="left" vertical="top" wrapText="1"/>
    </xf>
    <xf numFmtId="0" fontId="57" fillId="0" borderId="4" xfId="0" applyFont="1" applyBorder="1" applyAlignment="1">
      <alignment horizontal="left" vertical="top" wrapText="1"/>
    </xf>
  </cellXfs>
  <cellStyles count="11">
    <cellStyle name="Normal" xfId="0" builtinId="0"/>
    <cellStyle name="Normal 11 2 2 2 2" xfId="2"/>
    <cellStyle name="Normal 13 2" xfId="3"/>
    <cellStyle name="Normal 16" xfId="4"/>
    <cellStyle name="Normal 2" xfId="1"/>
    <cellStyle name="Normal 2 2" xfId="5"/>
    <cellStyle name="Normal 2 4" xfId="6"/>
    <cellStyle name="Normal 21" xfId="7"/>
    <cellStyle name="Normal 4" xfId="8"/>
    <cellStyle name="Normal 5" xfId="9"/>
    <cellStyle name="Normal 8 5"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STIMATE%202022%20NEW%20-%20ward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ew%20folder%20(2)\BOQ%20AJIT\(2)%20P.C.C%20ROAD%20NOBOR%20EKKA%20%20W.N,%203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New%20folder%20(2)\P.C.C%20ROAD%20AT%20NOBER%20EKKA%20W.N,%203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ew%20folder%20(2)\BOQ%20AJIT\P.C.C%20NEW%20PUNDAG%20%20RAJU%20JEE%20W-3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Ajit%20BOQ\kirtimandal%20sir%20J%20E\ghat%20road%20me%20pc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New%20folder%20(2)\BOQ%20AJIT\PCC%20EKTA%20NAGAR%20HATIA%20MANOJ%20W-5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New%20folder%20(2)\BOQ%20AJIT\PCC%20OBARIA%20ROAD%20MANISH%20KR.%20W-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ESTIMATE%202022%20NEW%20-%20ward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wnloads/ward%2021%20drain%20and%20culvert%20At%20Augad%20baba%20ashra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WARD-23\PCC%20ROAD\(3)%20IMLI%20TOLA%20ONLY%20PCC%20ROAD-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WARD-23\PCC%20ROAD\(8)%20PCC%20TASLIM%20MASZID%20WATER%20TANK%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WARD-23\PCC%20ROAD\(2)%20ARSHI%20APARTMENT%20PCC%20ROAD%20(LS)-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WARD-23\PCC%20ROAD\(1)%20PARSHAD%20GALI%20KALIM-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ew%20folder%20(2)\p.c.c%20road%20at%20panchwati%20nagar%20w.n.%203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ew%20folder%20(2)\BOQ%20AJIT\(1)%20P.C.C%20ROAD%20JYANTI%20STORE%20W.N,%203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MLA"/>
      <sheetName val="MLA MAT"/>
      <sheetName val="REV"/>
      <sheetName val="REV MAT"/>
      <sheetName val="SUMIT"/>
      <sheetName val="SUMIT MAT"/>
      <sheetName val="ward3"/>
      <sheetName val="SUMIT Caterer BOQ"/>
      <sheetName val="MLA BOQ"/>
      <sheetName val="Pradeep"/>
      <sheetName val="Pradeep1"/>
      <sheetName val="Pradeep2"/>
      <sheetName val="Pradeep3"/>
      <sheetName val="BABU DA"/>
      <sheetName val="BABU DA MAT"/>
      <sheetName val="PUCHKA RAMAN"/>
      <sheetName val="PUMAT"/>
      <sheetName val="MUKESH MUNDA"/>
      <sheetName val="MUKESH MAT"/>
      <sheetName val="SHIVNATH"/>
      <sheetName val="SHIVNATH MAT"/>
      <sheetName val="BALESHWAR"/>
      <sheetName val="BALESHWAR MAT"/>
      <sheetName val="MAHABIR"/>
      <sheetName val="MAHABIR MAT"/>
      <sheetName val="PANDEY BIKASH"/>
      <sheetName val="PAN M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7">
          <cell r="G7">
            <v>145.14301897479467</v>
          </cell>
        </row>
        <row r="11">
          <cell r="G11">
            <v>29.028603794958933</v>
          </cell>
        </row>
        <row r="15">
          <cell r="G15">
            <v>47.606910223732648</v>
          </cell>
        </row>
        <row r="19">
          <cell r="G19">
            <v>58.057207589917866</v>
          </cell>
        </row>
        <row r="23">
          <cell r="G23">
            <v>38.104089219330852</v>
          </cell>
        </row>
        <row r="25">
          <cell r="G25">
            <v>24.964599263664681</v>
          </cell>
        </row>
        <row r="26">
          <cell r="G26">
            <v>29.028603794958933</v>
          </cell>
        </row>
        <row r="27">
          <cell r="G27">
            <v>49.929198527329362</v>
          </cell>
        </row>
        <row r="28">
          <cell r="G28">
            <v>47.606910223732648</v>
          </cell>
        </row>
        <row r="29">
          <cell r="G29">
            <v>145.14301897479467</v>
          </cell>
        </row>
      </sheetData>
      <sheetData sheetId="44"/>
      <sheetData sheetId="45"/>
      <sheetData sheetId="46"/>
      <sheetData sheetId="47">
        <row r="8">
          <cell r="G8">
            <v>122.61682242990655</v>
          </cell>
        </row>
        <row r="13">
          <cell r="G13">
            <v>51.656754460492785</v>
          </cell>
        </row>
        <row r="18">
          <cell r="G18">
            <v>66.881903143585376</v>
          </cell>
        </row>
        <row r="22">
          <cell r="G22">
            <v>67.969413763806287</v>
          </cell>
        </row>
        <row r="26">
          <cell r="G26">
            <v>44.609665427509292</v>
          </cell>
        </row>
        <row r="28">
          <cell r="G28">
            <v>29.226847918436704</v>
          </cell>
        </row>
        <row r="29">
          <cell r="G29">
            <v>51.656754460492785</v>
          </cell>
        </row>
        <row r="30">
          <cell r="G30">
            <v>58.453695836873408</v>
          </cell>
        </row>
        <row r="31">
          <cell r="G31">
            <v>66.881903143585376</v>
          </cell>
        </row>
        <row r="32">
          <cell r="G32">
            <v>122.61682242990655</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R0AD AT AT GIRZA TOLI DIBDHI P.C.C. MAIN ROD TO HOUSE OF NOBOR EKKA UNDER WARD NO-36</v>
          </cell>
        </row>
        <row r="4">
          <cell r="B4" t="str">
            <v>Labour for site clearence before and after the work etc.</v>
          </cell>
          <cell r="G4">
            <v>5</v>
          </cell>
          <cell r="I4">
            <v>326.85000000000002</v>
          </cell>
        </row>
        <row r="5">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68.31</v>
          </cell>
          <cell r="I8">
            <v>151.82</v>
          </cell>
        </row>
        <row r="9">
          <cell r="B9" t="str">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ell>
        </row>
        <row r="12">
          <cell r="G12">
            <v>25.49</v>
          </cell>
          <cell r="I12">
            <v>347.85</v>
          </cell>
        </row>
        <row r="13">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42.82</v>
          </cell>
          <cell r="I16">
            <v>1756.4</v>
          </cell>
        </row>
        <row r="17">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50.98</v>
          </cell>
          <cell r="I20">
            <v>4961.7299999999996</v>
          </cell>
        </row>
        <row r="21">
          <cell r="B21" t="str">
            <v>Centering and shuttering including strutting, propping etc. and removal of from for Foundations, footings, bases of columns, etc. for mass concrete.</v>
          </cell>
        </row>
        <row r="24">
          <cell r="G24">
            <v>41.82</v>
          </cell>
          <cell r="I24">
            <v>194.5</v>
          </cell>
        </row>
        <row r="26">
          <cell r="G26">
            <v>21.92</v>
          </cell>
          <cell r="I26">
            <v>848.82</v>
          </cell>
        </row>
        <row r="27">
          <cell r="G27">
            <v>25.49</v>
          </cell>
          <cell r="I27">
            <v>447.06</v>
          </cell>
        </row>
        <row r="28">
          <cell r="G28">
            <v>43.84</v>
          </cell>
          <cell r="I28">
            <v>447.06</v>
          </cell>
        </row>
        <row r="29">
          <cell r="G29">
            <v>42.82</v>
          </cell>
          <cell r="I29">
            <v>679.66</v>
          </cell>
        </row>
        <row r="30">
          <cell r="G30">
            <v>68.31</v>
          </cell>
          <cell r="I30">
            <v>117.54</v>
          </cell>
        </row>
      </sheetData>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efreshError="1">
        <row r="4">
          <cell r="G4">
            <v>5</v>
          </cell>
        </row>
        <row r="5">
          <cell r="A5" t="str">
            <v>2       5.1.1.</v>
          </cell>
        </row>
        <row r="8">
          <cell r="G8">
            <v>70.209999999999994</v>
          </cell>
          <cell r="I8">
            <v>151.82</v>
          </cell>
        </row>
        <row r="9">
          <cell r="A9" t="str">
            <v>3.           M-004</v>
          </cell>
        </row>
        <row r="12">
          <cell r="G12">
            <v>26.2</v>
          </cell>
        </row>
        <row r="13">
          <cell r="A13" t="str">
            <v>4.       5.6.8 (C.I.W.)</v>
          </cell>
        </row>
        <row r="16">
          <cell r="G16">
            <v>44.01</v>
          </cell>
          <cell r="I16">
            <v>1756.4</v>
          </cell>
        </row>
        <row r="17">
          <cell r="A17" t="str">
            <v>5.     5.3.1.1</v>
          </cell>
        </row>
        <row r="20">
          <cell r="G20">
            <v>52.39</v>
          </cell>
          <cell r="I20">
            <v>4961.7299999999996</v>
          </cell>
        </row>
        <row r="21">
          <cell r="A21" t="str">
            <v>6               5.3.17.1</v>
          </cell>
        </row>
        <row r="24">
          <cell r="G24">
            <v>34.39</v>
          </cell>
          <cell r="I24">
            <v>194.5</v>
          </cell>
        </row>
        <row r="25">
          <cell r="A25">
            <v>7</v>
          </cell>
        </row>
        <row r="26">
          <cell r="I26">
            <v>848.82</v>
          </cell>
        </row>
        <row r="29">
          <cell r="I29">
            <v>679.66</v>
          </cell>
        </row>
        <row r="30">
          <cell r="I30">
            <v>117.54</v>
          </cell>
        </row>
      </sheetData>
      <sheetData sheetId="1" refreshError="1"/>
      <sheetData sheetId="2" refreshError="1">
        <row r="7">
          <cell r="F7">
            <v>22.53</v>
          </cell>
          <cell r="G7">
            <v>26.2</v>
          </cell>
          <cell r="H7">
            <v>45.06</v>
          </cell>
          <cell r="I7">
            <v>44.01</v>
          </cell>
          <cell r="J7">
            <v>70.209999999999994</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R0AD AT NEW PUNDAG JAGRNATH VIHAR HOUSE OF AMER YADAV TO HOUSE OF RAJU JEE  UNDER WARD NO-36</v>
          </cell>
        </row>
        <row r="4">
          <cell r="G4">
            <v>1</v>
          </cell>
          <cell r="I4">
            <v>326.85000000000002</v>
          </cell>
        </row>
        <row r="5">
          <cell r="A5" t="str">
            <v>2       5.1.1.</v>
          </cell>
        </row>
        <row r="8">
          <cell r="G8">
            <v>18.97</v>
          </cell>
          <cell r="I8">
            <v>151.82</v>
          </cell>
        </row>
        <row r="9">
          <cell r="A9" t="str">
            <v>3.           M-004</v>
          </cell>
        </row>
        <row r="12">
          <cell r="G12">
            <v>7.08</v>
          </cell>
        </row>
        <row r="13">
          <cell r="A13" t="str">
            <v>4.       5.6.8 (C.I.W.)</v>
          </cell>
        </row>
        <row r="16">
          <cell r="G16">
            <v>11.89</v>
          </cell>
          <cell r="I16">
            <v>1756.4</v>
          </cell>
        </row>
        <row r="17">
          <cell r="A17" t="str">
            <v>5.     5.3.1.1</v>
          </cell>
        </row>
        <row r="20">
          <cell r="G20">
            <v>14.16</v>
          </cell>
          <cell r="I20">
            <v>4961.7299999999996</v>
          </cell>
        </row>
        <row r="21">
          <cell r="A21" t="str">
            <v>6               5.3.17.1</v>
          </cell>
        </row>
        <row r="24">
          <cell r="G24">
            <v>9.2899999999999991</v>
          </cell>
          <cell r="I24">
            <v>194.5</v>
          </cell>
        </row>
        <row r="25">
          <cell r="A25">
            <v>7</v>
          </cell>
        </row>
        <row r="26">
          <cell r="I26">
            <v>848.82</v>
          </cell>
        </row>
        <row r="29">
          <cell r="I29">
            <v>679.66</v>
          </cell>
        </row>
        <row r="30">
          <cell r="I30">
            <v>117.54</v>
          </cell>
        </row>
      </sheetData>
      <sheetData sheetId="1"/>
      <sheetData sheetId="2">
        <row r="7">
          <cell r="F7">
            <v>6.09</v>
          </cell>
          <cell r="G7">
            <v>7.08</v>
          </cell>
          <cell r="H7">
            <v>12.18</v>
          </cell>
          <cell r="I7">
            <v>11.89</v>
          </cell>
          <cell r="J7">
            <v>18.97</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s>
    <sheetDataSet>
      <sheetData sheetId="0">
        <row r="7">
          <cell r="G7">
            <v>50.093457943925237</v>
          </cell>
        </row>
        <row r="11">
          <cell r="G11">
            <v>50.093457943925237</v>
          </cell>
        </row>
        <row r="16">
          <cell r="G16">
            <v>20.446096654275092</v>
          </cell>
        </row>
        <row r="21">
          <cell r="G21">
            <v>31.15264797507788</v>
          </cell>
        </row>
      </sheetData>
      <sheetData sheetId="1">
        <row r="7">
          <cell r="F7">
            <v>13.395638629283487</v>
          </cell>
          <cell r="G7">
            <v>94.21707165109035</v>
          </cell>
          <cell r="H7">
            <v>50.093457943925237</v>
          </cell>
        </row>
      </sheetData>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R0AD AT EKTA NAGAR HOUSE OF MANOJ SARMA TO HOUSE OF RAMSHAN SINGH VIA SURANR SINGH UNDER WARD NO-52</v>
          </cell>
        </row>
        <row r="4">
          <cell r="B4" t="str">
            <v>Labour for site clearence before and after the work etc.</v>
          </cell>
          <cell r="G4">
            <v>5</v>
          </cell>
          <cell r="H4" t="str">
            <v>No.</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132.06</v>
          </cell>
          <cell r="I8">
            <v>151.82</v>
          </cell>
        </row>
        <row r="9">
          <cell r="A9" t="str">
            <v>3.           M-004</v>
          </cell>
          <cell r="B9" t="str">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ell>
        </row>
        <row r="12">
          <cell r="G12">
            <v>49.28</v>
          </cell>
          <cell r="I12">
            <v>347.85</v>
          </cell>
        </row>
        <row r="13">
          <cell r="A13" t="str">
            <v>4.       5.6.8 (C.I.W.)</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82.79</v>
          </cell>
          <cell r="I16">
            <v>1756.4</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98.56</v>
          </cell>
          <cell r="I20">
            <v>4961.7299999999996</v>
          </cell>
        </row>
        <row r="21">
          <cell r="A21" t="str">
            <v>6               5.3.17.1</v>
          </cell>
          <cell r="B21" t="str">
            <v>Centering and shuttering including strutting, propping etc. and removal of from for Foundations, footings, bases of columns, etc. for mass concrete.</v>
          </cell>
        </row>
        <row r="24">
          <cell r="G24">
            <v>53.9</v>
          </cell>
          <cell r="I24">
            <v>194.5</v>
          </cell>
        </row>
        <row r="25">
          <cell r="A25">
            <v>7</v>
          </cell>
        </row>
        <row r="26">
          <cell r="B26" t="str">
            <v>SAND-LEAD-42KM</v>
          </cell>
          <cell r="I26">
            <v>744.66</v>
          </cell>
        </row>
        <row r="27">
          <cell r="B27" t="str">
            <v>STONE DUST-LEAD-15KM</v>
          </cell>
          <cell r="I27">
            <v>342.9</v>
          </cell>
        </row>
        <row r="28">
          <cell r="B28" t="str">
            <v>STONE CHIPS-LEAD-15KM</v>
          </cell>
          <cell r="I28">
            <v>342.9</v>
          </cell>
        </row>
        <row r="29">
          <cell r="B29" t="str">
            <v>BOULDER-LEAD-29KM</v>
          </cell>
          <cell r="I29">
            <v>570.94000000000005</v>
          </cell>
        </row>
        <row r="30">
          <cell r="B30" t="str">
            <v>EARTH-LEAD-01km</v>
          </cell>
          <cell r="I30">
            <v>117.54</v>
          </cell>
        </row>
      </sheetData>
      <sheetData sheetId="1" refreshError="1"/>
      <sheetData sheetId="2">
        <row r="7">
          <cell r="F7">
            <v>42.38</v>
          </cell>
          <cell r="G7">
            <v>49.28</v>
          </cell>
          <cell r="H7">
            <v>84.76</v>
          </cell>
          <cell r="I7">
            <v>82.79</v>
          </cell>
          <cell r="J7">
            <v>132.06</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R0AD AT OBRIA ROAD AT P.C.C. MAIN ROAD TO HOUSE OF MANISH KUMAR UNDER WARD NO-52</v>
          </cell>
        </row>
        <row r="4">
          <cell r="A4">
            <v>1</v>
          </cell>
          <cell r="B4" t="str">
            <v>Labour for site clearence before and after the work etc.</v>
          </cell>
          <cell r="G4">
            <v>5</v>
          </cell>
          <cell r="H4" t="str">
            <v>No.</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68.31</v>
          </cell>
          <cell r="I8">
            <v>151.82</v>
          </cell>
        </row>
        <row r="9">
          <cell r="A9" t="str">
            <v>3.           M-004</v>
          </cell>
          <cell r="B9" t="str">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ell>
        </row>
        <row r="12">
          <cell r="G12">
            <v>25.49</v>
          </cell>
          <cell r="I12">
            <v>347.85</v>
          </cell>
        </row>
        <row r="13">
          <cell r="A13" t="str">
            <v>4.       5.6.8 (C.I.W.)</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42.82</v>
          </cell>
          <cell r="I16">
            <v>1756.4</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50.98</v>
          </cell>
          <cell r="I20">
            <v>4961.7299999999996</v>
          </cell>
        </row>
        <row r="21">
          <cell r="A21" t="str">
            <v>6               5.3.17.1</v>
          </cell>
          <cell r="B21" t="str">
            <v>Centering and shuttering including strutting, propping etc. and removal of from for Foundations, footings, bases of columns, etc. for mass concrete.</v>
          </cell>
        </row>
        <row r="24">
          <cell r="G24">
            <v>33.46</v>
          </cell>
          <cell r="I24">
            <v>194.5</v>
          </cell>
        </row>
        <row r="25">
          <cell r="A25">
            <v>7</v>
          </cell>
        </row>
        <row r="26">
          <cell r="B26" t="str">
            <v>SAND-LEAD-42KM</v>
          </cell>
          <cell r="I26">
            <v>744.66</v>
          </cell>
        </row>
        <row r="27">
          <cell r="B27" t="str">
            <v>STONE DUST-LEAD-15KM</v>
          </cell>
          <cell r="I27">
            <v>342.9</v>
          </cell>
        </row>
        <row r="28">
          <cell r="B28" t="str">
            <v>STONE CHIPS-LEAD-15KM</v>
          </cell>
          <cell r="I28">
            <v>342.9</v>
          </cell>
        </row>
        <row r="29">
          <cell r="B29" t="str">
            <v>BOULDER-LEAD-29KM</v>
          </cell>
          <cell r="I29">
            <v>570.94000000000005</v>
          </cell>
        </row>
        <row r="30">
          <cell r="B30" t="str">
            <v>EARTH-LEAD-01km</v>
          </cell>
          <cell r="I30">
            <v>117.54</v>
          </cell>
        </row>
      </sheetData>
      <sheetData sheetId="1"/>
      <sheetData sheetId="2">
        <row r="7">
          <cell r="F7">
            <v>21.92</v>
          </cell>
          <cell r="G7">
            <v>25.49</v>
          </cell>
          <cell r="H7">
            <v>43.84</v>
          </cell>
          <cell r="I7">
            <v>42.82</v>
          </cell>
          <cell r="J7">
            <v>68.31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Chitragupt 5"/>
      <sheetName val="Chitra mat"/>
      <sheetName val="FULA MAHTO5"/>
      <sheetName val="FULA MAT"/>
      <sheetName val="Leam Basti"/>
      <sheetName val="Leam Mat"/>
      <sheetName val="Ram Ohdar"/>
      <sheetName val="R Ohdar Mat"/>
      <sheetName val="sundar nagar"/>
      <sheetName val="sundar mat"/>
      <sheetName val="KHIJURTOLA GREEN"/>
      <sheetName val="KHI GREEN MAT"/>
      <sheetName val="KHIJURTOLA ASHOK"/>
      <sheetName val="KHI ASHOK MAT"/>
      <sheetName val="KHI TAPU"/>
      <sheetName val="KHI TAPU MAT"/>
      <sheetName val="WAXPOL"/>
      <sheetName val="WAXPOL MAT"/>
      <sheetName val="LEAM BASTI GOVT SCHOOL"/>
      <sheetName val="LEAM GOVT MAT"/>
      <sheetName val="LEAM BOQ"/>
      <sheetName val="Basant shiv"/>
      <sheetName val="Basant Mat"/>
      <sheetName val="Basant BOQ"/>
      <sheetName val="Govindam paver"/>
      <sheetName val="gov mat"/>
      <sheetName val="Govindam BOQ"/>
      <sheetName val="BIL TANR"/>
      <sheetName val="BIL MAT"/>
      <sheetName val="BILTANR BOQ"/>
      <sheetName val="fula BOQ"/>
    </sheetNames>
    <sheetDataSet>
      <sheetData sheetId="0">
        <row r="7">
          <cell r="I7">
            <v>139.58000000000001</v>
          </cell>
        </row>
      </sheetData>
      <sheetData sheetId="1"/>
      <sheetData sheetId="2">
        <row r="37">
          <cell r="I37">
            <v>848.82</v>
          </cell>
        </row>
        <row r="38">
          <cell r="I38">
            <v>313.14</v>
          </cell>
        </row>
        <row r="39">
          <cell r="I39">
            <v>447.06</v>
          </cell>
        </row>
        <row r="40">
          <cell r="I40">
            <v>679.66</v>
          </cell>
        </row>
        <row r="41">
          <cell r="I41">
            <v>117.54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2">
          <cell r="B2" t="str">
            <v>NAME OF WORK:-Construction of RCC drain From Aughad Bhagwan Ram Ashram To Phool Baba Ashram Under Ward No. 21.</v>
          </cell>
        </row>
        <row r="4">
          <cell r="B4" t="str">
            <v>Dismentalling of Plain Cement Concrete and………..Do…..E/I.</v>
          </cell>
        </row>
        <row r="7">
          <cell r="G7">
            <v>5.1732276031341442</v>
          </cell>
        </row>
        <row r="12">
          <cell r="G12">
            <v>36.159728122344944</v>
          </cell>
          <cell r="I12">
            <v>167.33</v>
          </cell>
        </row>
        <row r="13">
          <cell r="A13" t="str">
            <v>BCD SOR 5.1.10</v>
          </cell>
        </row>
        <row r="17">
          <cell r="G17">
            <v>3.4</v>
          </cell>
        </row>
        <row r="22">
          <cell r="G22">
            <v>5.67</v>
          </cell>
        </row>
        <row r="23">
          <cell r="A23" t="str">
            <v>5.    5.3.10</v>
          </cell>
          <cell r="B23" t="str">
            <v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v>
          </cell>
        </row>
        <row r="29">
          <cell r="G29">
            <v>20.85</v>
          </cell>
        </row>
        <row r="30">
          <cell r="A30" t="str">
            <v>6. 5.3.11</v>
          </cell>
          <cell r="B30" t="str">
            <v xml:space="preserve"> 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v>
          </cell>
        </row>
        <row r="34">
          <cell r="G34">
            <v>6.8</v>
          </cell>
        </row>
        <row r="39">
          <cell r="G39">
            <v>3.4159999999999999</v>
          </cell>
        </row>
        <row r="47">
          <cell r="G47">
            <v>102.94000000000001</v>
          </cell>
        </row>
        <row r="49">
          <cell r="B49" t="str">
            <v>Sand  (Lead Upto 49 km)</v>
          </cell>
          <cell r="I49">
            <v>848.82</v>
          </cell>
        </row>
        <row r="50">
          <cell r="B50" t="str">
            <v>LOCAL SAND (Lead 13 KM)</v>
          </cell>
          <cell r="I50">
            <v>417.3</v>
          </cell>
        </row>
        <row r="51">
          <cell r="B51" t="str">
            <v>Stone Boulder (Lead 36 KM)</v>
          </cell>
          <cell r="I51">
            <v>679.66</v>
          </cell>
        </row>
        <row r="52">
          <cell r="B52" t="str">
            <v>Stone Chips (Lead 22KM)</v>
          </cell>
          <cell r="I52">
            <v>447.06</v>
          </cell>
        </row>
        <row r="53">
          <cell r="B53" t="str">
            <v>Earth (Lead 01 KM)</v>
          </cell>
          <cell r="I53">
            <v>117.54</v>
          </cell>
        </row>
      </sheetData>
      <sheetData sheetId="1">
        <row r="9">
          <cell r="E9">
            <v>3.4</v>
          </cell>
          <cell r="F9">
            <v>12.32</v>
          </cell>
          <cell r="G9">
            <v>24.64</v>
          </cell>
          <cell r="H9">
            <v>5.67</v>
          </cell>
          <cell r="I9">
            <v>36.159728122344944</v>
          </cell>
        </row>
      </sheetData>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STIMATE"/>
      <sheetName val="MATERIAL "/>
      <sheetName val="BOQ"/>
    </sheetNames>
    <sheetDataSet>
      <sheetData sheetId="0">
        <row r="2">
          <cell r="A2" t="str">
            <v xml:space="preserve">Name of Work :-IMPROVEMENT OF PCC ROAD AT IMLI TOLA UNDER WARD NO. 23 </v>
          </cell>
        </row>
        <row r="4">
          <cell r="G4">
            <v>2</v>
          </cell>
          <cell r="I4">
            <v>326.85000000000002</v>
          </cell>
        </row>
        <row r="5">
          <cell r="A5" t="str">
            <v>2.     5.3.1.1</v>
          </cell>
        </row>
        <row r="8">
          <cell r="G8">
            <v>31.22</v>
          </cell>
          <cell r="I8">
            <v>4961.7299999999996</v>
          </cell>
        </row>
        <row r="9">
          <cell r="A9" t="str">
            <v>3                 5.3.17.1</v>
          </cell>
        </row>
        <row r="12">
          <cell r="G12">
            <v>19.52</v>
          </cell>
          <cell r="I12">
            <v>194.5</v>
          </cell>
        </row>
        <row r="13">
          <cell r="A13">
            <v>4</v>
          </cell>
        </row>
        <row r="14">
          <cell r="I14">
            <v>848.82</v>
          </cell>
        </row>
        <row r="15">
          <cell r="I15">
            <v>447.06</v>
          </cell>
        </row>
      </sheetData>
      <sheetData sheetId="1">
        <row r="4">
          <cell r="F4">
            <v>13.42</v>
          </cell>
          <cell r="G4">
            <v>26.85</v>
          </cell>
        </row>
      </sheetData>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:-IMPROVEMENT OF PCC ROAD AT TASLIM MASZID ROAD, INFRONT OF WATER TANK GALI FROM MARHUM YUNUS HOUSE TO SHAMS TAUHID HOUSE AND CONSTRUCTION OF RCC CULVERT AT NEAR CENTRAL STREET LAL BUILDING UNDER WARD NO-23</v>
          </cell>
        </row>
        <row r="4">
          <cell r="A4">
            <v>1</v>
          </cell>
          <cell r="B4" t="str">
            <v>Labour for site clearence before and after the work, Including Head load &amp;Groove cutting etc.</v>
          </cell>
          <cell r="G4">
            <v>4</v>
          </cell>
          <cell r="H4" t="str">
            <v>No.</v>
          </cell>
          <cell r="I4">
            <v>326.85000000000002</v>
          </cell>
        </row>
        <row r="5">
          <cell r="A5" t="str">
            <v>2     5.10.2</v>
          </cell>
          <cell r="B5" t="str">
            <v>Dismantling plain cement or lime concrete work including ………do…….complete as per specification and  direction of E/I.</v>
          </cell>
        </row>
        <row r="9">
          <cell r="G9">
            <v>0.35</v>
          </cell>
          <cell r="I9">
            <v>955.89</v>
          </cell>
        </row>
        <row r="10">
          <cell r="A10" t="str">
            <v>3
5.10.3</v>
          </cell>
          <cell r="B10" t="str">
            <v>Dismantling R.C.C work  including stacking serviceable materials in countable stacks within 15M.lead and disposal of unserviceable materials with all leads complete  as per direction of E/I.</v>
          </cell>
        </row>
        <row r="14">
          <cell r="G14">
            <v>0.43</v>
          </cell>
          <cell r="I14">
            <v>1993.04</v>
          </cell>
        </row>
        <row r="15">
          <cell r="A15" t="str">
            <v>4       5.1.1.</v>
          </cell>
          <cell r="B1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19">
          <cell r="G19">
            <v>5</v>
          </cell>
          <cell r="I19">
            <v>151.82</v>
          </cell>
        </row>
        <row r="20">
          <cell r="A20" t="str">
            <v>5.         5.1.10</v>
          </cell>
          <cell r="B20"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23">
          <cell r="G23">
            <v>0.43</v>
          </cell>
          <cell r="I23">
            <v>589.51</v>
          </cell>
        </row>
        <row r="24">
          <cell r="A24" t="str">
            <v>6.       5.6.8 (C.I.W.)</v>
          </cell>
          <cell r="B24" t="str">
            <v>Supplying and laying (properly as per design and drawing )rip-rap with good quality of boulders duly packed including the cost of materials,royalty all taxes etc.but excluding the cost of carriage, all complete as per specification and direction of E/I.</v>
          </cell>
        </row>
        <row r="27">
          <cell r="G27">
            <v>0.73</v>
          </cell>
          <cell r="I27">
            <v>1756.4</v>
          </cell>
        </row>
        <row r="28">
          <cell r="A28" t="str">
            <v>7     5.3.10</v>
          </cell>
          <cell r="B28" t="str">
            <v>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v>
          </cell>
        </row>
        <row r="32">
          <cell r="G32">
            <v>2.38</v>
          </cell>
          <cell r="I32">
            <v>6082.45</v>
          </cell>
        </row>
        <row r="33">
          <cell r="A33" t="str">
            <v>8                  5.3.11</v>
          </cell>
          <cell r="B33"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37">
          <cell r="G37">
            <v>4.7</v>
          </cell>
          <cell r="I37">
            <v>6308.87</v>
          </cell>
        </row>
        <row r="38">
          <cell r="A38">
            <v>9</v>
          </cell>
          <cell r="B38"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41">
          <cell r="G41">
            <v>0.08</v>
          </cell>
          <cell r="I41">
            <v>83314.02</v>
          </cell>
        </row>
        <row r="42">
          <cell r="A42" t="str">
            <v>5.5.5(a)</v>
          </cell>
        </row>
        <row r="45">
          <cell r="G45">
            <v>0.52</v>
          </cell>
          <cell r="I45">
            <v>82096.539999999994</v>
          </cell>
        </row>
        <row r="46">
          <cell r="A46" t="str">
            <v>10.     5.3.1.1</v>
          </cell>
          <cell r="B46" t="str">
            <v xml:space="preserve">Providing and laying in position cement concrete of specified grade excluding the cost of centering and shuttering- All work upto plinth level : 1:1½:3 (1 cemet : 1½ coarse sand (zone-iii) : 3 graded stone aggregate 20mm nominal size )  </v>
          </cell>
        </row>
        <row r="49">
          <cell r="G49">
            <v>32.71</v>
          </cell>
          <cell r="I49">
            <v>4961.7299999999996</v>
          </cell>
        </row>
        <row r="50">
          <cell r="A50" t="str">
            <v>11               5.3.17.1</v>
          </cell>
          <cell r="B50" t="str">
            <v>Centering and shuttering including strutting, propping etc. and removal of from for Foundations, footings, bases of columns, etc. for mass concrete.</v>
          </cell>
        </row>
        <row r="56">
          <cell r="G56">
            <v>61.27</v>
          </cell>
          <cell r="I56">
            <v>194.5</v>
          </cell>
        </row>
        <row r="57">
          <cell r="A57">
            <v>12</v>
          </cell>
        </row>
        <row r="58">
          <cell r="A58" t="str">
            <v>(i)</v>
          </cell>
          <cell r="B58" t="str">
            <v>SAND-LEAD-49KM</v>
          </cell>
          <cell r="G58">
            <v>17.11</v>
          </cell>
          <cell r="I58">
            <v>848.82</v>
          </cell>
        </row>
        <row r="59">
          <cell r="A59" t="str">
            <v>(ii)</v>
          </cell>
          <cell r="B59" t="str">
            <v>LOCAL SAND-LEAD-14KM</v>
          </cell>
          <cell r="G59">
            <v>0.43</v>
          </cell>
          <cell r="I59">
            <v>328.02</v>
          </cell>
        </row>
        <row r="60">
          <cell r="A60" t="str">
            <v>(iii)</v>
          </cell>
          <cell r="B60" t="str">
            <v>STONE CHIPS-LEAD-22KM</v>
          </cell>
          <cell r="G60">
            <v>34.22</v>
          </cell>
          <cell r="I60">
            <v>447.06</v>
          </cell>
        </row>
        <row r="61">
          <cell r="A61" t="str">
            <v>(iv)</v>
          </cell>
          <cell r="B61" t="str">
            <v>BOULDER-LEAD-36KM</v>
          </cell>
          <cell r="G61">
            <v>0.73</v>
          </cell>
          <cell r="I61">
            <v>679.66</v>
          </cell>
        </row>
        <row r="62">
          <cell r="A62" t="str">
            <v>(v)</v>
          </cell>
          <cell r="B62" t="str">
            <v>EARTH-LEAD-01km</v>
          </cell>
          <cell r="G62">
            <v>5</v>
          </cell>
          <cell r="I62">
            <v>117.54</v>
          </cell>
        </row>
      </sheetData>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STIMATE"/>
      <sheetName val="MATERIAL "/>
      <sheetName val="BOQ"/>
    </sheetNames>
    <sheetDataSet>
      <sheetData sheetId="0">
        <row r="2">
          <cell r="A2" t="str">
            <v xml:space="preserve">Name of Work :-CONSTRUCTION OF PCC ROAD AT BESIDE ARSHI APARTMENT GALI UNDER WARD NO. 23 </v>
          </cell>
        </row>
        <row r="4">
          <cell r="G4">
            <v>3</v>
          </cell>
          <cell r="I4">
            <v>326.85000000000002</v>
          </cell>
        </row>
        <row r="5">
          <cell r="A5" t="str">
            <v>2 (J.B.C.D.5.1.1.)</v>
          </cell>
        </row>
        <row r="8">
          <cell r="G8">
            <v>14.73</v>
          </cell>
          <cell r="I8">
            <v>151.82</v>
          </cell>
        </row>
        <row r="9">
          <cell r="A9" t="str">
            <v>3.         5.1.10</v>
          </cell>
          <cell r="B9"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2">
          <cell r="G12">
            <v>3.68</v>
          </cell>
          <cell r="I12">
            <v>589.51</v>
          </cell>
        </row>
        <row r="13">
          <cell r="A13" t="str">
            <v>4.        (J.B.C.D.5.6.8)</v>
          </cell>
        </row>
        <row r="16">
          <cell r="G16">
            <v>6.19</v>
          </cell>
          <cell r="I16">
            <v>1756.4</v>
          </cell>
        </row>
        <row r="17">
          <cell r="A17" t="str">
            <v>5.     5.3.1.1</v>
          </cell>
        </row>
        <row r="22">
          <cell r="G22">
            <v>46.02</v>
          </cell>
          <cell r="I22">
            <v>4961.7299999999996</v>
          </cell>
        </row>
        <row r="23">
          <cell r="A23" t="str">
            <v>6                 5.3.17.1</v>
          </cell>
        </row>
        <row r="27">
          <cell r="G27">
            <v>48.33</v>
          </cell>
          <cell r="I27">
            <v>194.5</v>
          </cell>
        </row>
        <row r="28">
          <cell r="A28">
            <v>7</v>
          </cell>
        </row>
        <row r="29">
          <cell r="I29">
            <v>848.82</v>
          </cell>
        </row>
        <row r="30">
          <cell r="B30" t="str">
            <v>LOCAL SAND-14KM</v>
          </cell>
          <cell r="I30">
            <v>328.02</v>
          </cell>
        </row>
        <row r="31">
          <cell r="I31">
            <v>447.06</v>
          </cell>
        </row>
        <row r="32">
          <cell r="I32">
            <v>679.66</v>
          </cell>
        </row>
        <row r="33">
          <cell r="I33">
            <v>117.54</v>
          </cell>
        </row>
      </sheetData>
      <sheetData sheetId="1">
        <row r="3">
          <cell r="C3">
            <v>14.73</v>
          </cell>
        </row>
        <row r="4">
          <cell r="G4">
            <v>3.68</v>
          </cell>
        </row>
        <row r="5">
          <cell r="C5">
            <v>6.19</v>
          </cell>
        </row>
        <row r="7">
          <cell r="F7">
            <v>19.79</v>
          </cell>
          <cell r="H7">
            <v>39.58</v>
          </cell>
        </row>
      </sheetData>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ESTIMATE"/>
      <sheetName val="MATERIAL "/>
      <sheetName val="BOQ"/>
    </sheetNames>
    <sheetDataSet>
      <sheetData sheetId="0">
        <row r="4">
          <cell r="G4">
            <v>5</v>
          </cell>
          <cell r="I4">
            <v>326.85000000000002</v>
          </cell>
        </row>
        <row r="9">
          <cell r="G9">
            <v>1.36</v>
          </cell>
          <cell r="I9">
            <v>541.66999999999996</v>
          </cell>
        </row>
        <row r="10">
          <cell r="A10" t="str">
            <v>3       (J.B.C.D 5.10.3)</v>
          </cell>
          <cell r="B10" t="str">
            <v>Dismantling RCC slab including stacking serviceable material in countable stacks withnn 15M.lead and disposal of unserviceable material with all lead completed as per direction of E/I.</v>
          </cell>
        </row>
        <row r="13">
          <cell r="G13">
            <v>0.68</v>
          </cell>
          <cell r="I13">
            <v>1993.04</v>
          </cell>
        </row>
        <row r="21">
          <cell r="G21">
            <v>175.75</v>
          </cell>
          <cell r="I21">
            <v>151.82</v>
          </cell>
        </row>
        <row r="27">
          <cell r="G27">
            <v>35.54</v>
          </cell>
          <cell r="I27">
            <v>347.85</v>
          </cell>
        </row>
        <row r="33">
          <cell r="G33">
            <v>59.71</v>
          </cell>
          <cell r="I33">
            <v>1756.4</v>
          </cell>
        </row>
        <row r="39">
          <cell r="G39">
            <v>71.08</v>
          </cell>
          <cell r="I39">
            <v>4961.7299999999996</v>
          </cell>
        </row>
        <row r="44">
          <cell r="G44">
            <v>3.96</v>
          </cell>
          <cell r="I44">
            <v>6082.45</v>
          </cell>
        </row>
        <row r="48">
          <cell r="G48">
            <v>1.7</v>
          </cell>
          <cell r="I48">
            <v>6308.87</v>
          </cell>
        </row>
        <row r="53">
          <cell r="G53">
            <v>0.16</v>
          </cell>
          <cell r="I53">
            <v>83314.02</v>
          </cell>
        </row>
        <row r="57">
          <cell r="G57">
            <v>0.28000000000000003</v>
          </cell>
          <cell r="I57">
            <v>82096.539999999994</v>
          </cell>
        </row>
        <row r="64">
          <cell r="G64">
            <v>44.14</v>
          </cell>
          <cell r="I64">
            <v>194.5</v>
          </cell>
        </row>
        <row r="66">
          <cell r="I66">
            <v>848.82</v>
          </cell>
        </row>
        <row r="67">
          <cell r="I67">
            <v>447.06</v>
          </cell>
        </row>
        <row r="68">
          <cell r="I68">
            <v>447.06</v>
          </cell>
        </row>
        <row r="69">
          <cell r="I69">
            <v>679.66</v>
          </cell>
        </row>
        <row r="70">
          <cell r="I70">
            <v>117.54</v>
          </cell>
        </row>
      </sheetData>
      <sheetData sheetId="1">
        <row r="3">
          <cell r="C3">
            <v>175.75</v>
          </cell>
        </row>
        <row r="4">
          <cell r="G4">
            <v>35.54</v>
          </cell>
        </row>
        <row r="5">
          <cell r="C5">
            <v>59.71</v>
          </cell>
        </row>
        <row r="10">
          <cell r="F10">
            <v>32.989999999999995</v>
          </cell>
          <cell r="H10">
            <v>66</v>
          </cell>
        </row>
      </sheetData>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5">
          <cell r="A5" t="str">
            <v>2       5.1.1.</v>
          </cell>
        </row>
        <row r="8">
          <cell r="G8">
            <v>75.900000000000006</v>
          </cell>
          <cell r="I8">
            <v>151.82</v>
          </cell>
        </row>
        <row r="9">
          <cell r="A9" t="str">
            <v>3.           M-004</v>
          </cell>
        </row>
        <row r="12">
          <cell r="G12">
            <v>28.32</v>
          </cell>
          <cell r="I12">
            <v>347.87</v>
          </cell>
        </row>
        <row r="13">
          <cell r="A13" t="str">
            <v>4.       5.6.8 (C.I.W.)</v>
          </cell>
        </row>
        <row r="16">
          <cell r="G16">
            <v>47.58</v>
          </cell>
          <cell r="I16">
            <v>1756.4</v>
          </cell>
        </row>
        <row r="17">
          <cell r="A17" t="str">
            <v>5.     5.3.1.1</v>
          </cell>
        </row>
        <row r="20">
          <cell r="G20">
            <v>56.64</v>
          </cell>
          <cell r="I20">
            <v>4961.7299999999996</v>
          </cell>
        </row>
        <row r="21">
          <cell r="A21" t="str">
            <v>6               5.3.17.1</v>
          </cell>
        </row>
        <row r="24">
          <cell r="G24">
            <v>37.17</v>
          </cell>
          <cell r="I24">
            <v>194.5</v>
          </cell>
        </row>
        <row r="25">
          <cell r="A25">
            <v>7</v>
          </cell>
        </row>
        <row r="26">
          <cell r="I26">
            <v>848.82</v>
          </cell>
        </row>
        <row r="27">
          <cell r="I27">
            <v>447.06</v>
          </cell>
        </row>
        <row r="28">
          <cell r="I28">
            <v>447.06</v>
          </cell>
        </row>
        <row r="29">
          <cell r="I29">
            <v>679.66</v>
          </cell>
        </row>
        <row r="30">
          <cell r="I30">
            <v>117.54</v>
          </cell>
        </row>
      </sheetData>
      <sheetData sheetId="1"/>
      <sheetData sheetId="2">
        <row r="7">
          <cell r="F7">
            <v>24.36</v>
          </cell>
          <cell r="G7">
            <v>28.32</v>
          </cell>
          <cell r="H7">
            <v>48.71</v>
          </cell>
          <cell r="I7">
            <v>47.58</v>
          </cell>
          <cell r="J7">
            <v>75.900000000000006</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R0AD AT AT GIRZA TOLI DIBDHI JAYANTI STORE TO HOUSE OF BANDHAN JEE UNDER WARD NO-36</v>
          </cell>
        </row>
        <row r="4">
          <cell r="G4">
            <v>5</v>
          </cell>
          <cell r="I4">
            <v>326.85000000000002</v>
          </cell>
        </row>
        <row r="8">
          <cell r="G8">
            <v>77.8</v>
          </cell>
          <cell r="I8">
            <v>151.82</v>
          </cell>
        </row>
        <row r="12">
          <cell r="G12">
            <v>29.03</v>
          </cell>
          <cell r="I12">
            <v>347.85</v>
          </cell>
        </row>
        <row r="16">
          <cell r="G16">
            <v>48.77</v>
          </cell>
          <cell r="I16">
            <v>1756.4</v>
          </cell>
        </row>
        <row r="20">
          <cell r="G20">
            <v>58.06</v>
          </cell>
          <cell r="I20">
            <v>4961.7299999999996</v>
          </cell>
        </row>
        <row r="24">
          <cell r="G24">
            <v>38.1</v>
          </cell>
          <cell r="I24">
            <v>194.5</v>
          </cell>
        </row>
        <row r="26">
          <cell r="G26">
            <v>24.97</v>
          </cell>
          <cell r="I26">
            <v>848.82</v>
          </cell>
        </row>
        <row r="27">
          <cell r="G27">
            <v>29.03</v>
          </cell>
          <cell r="I27">
            <v>447.06</v>
          </cell>
        </row>
        <row r="28">
          <cell r="G28">
            <v>49.93</v>
          </cell>
          <cell r="I28">
            <v>447.06</v>
          </cell>
        </row>
        <row r="29">
          <cell r="G29">
            <v>48.77</v>
          </cell>
          <cell r="I29">
            <v>679.66</v>
          </cell>
        </row>
        <row r="30">
          <cell r="G30">
            <v>77.8</v>
          </cell>
          <cell r="I30">
            <v>117.54</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48"/>
  <sheetViews>
    <sheetView tabSelected="1" workbookViewId="0">
      <selection activeCell="A3" sqref="A3:F3"/>
    </sheetView>
  </sheetViews>
  <sheetFormatPr defaultRowHeight="18.75"/>
  <cols>
    <col min="1" max="1" width="5.3984375" customWidth="1"/>
    <col min="2" max="2" width="35.296875" customWidth="1"/>
    <col min="3" max="3" width="6" customWidth="1"/>
    <col min="4" max="4" width="3.59765625" bestFit="1" customWidth="1"/>
    <col min="5" max="5" width="7.19921875" customWidth="1"/>
    <col min="6" max="6" width="13.19921875" customWidth="1"/>
  </cols>
  <sheetData>
    <row r="1" spans="1:6" ht="34.5" customHeight="1">
      <c r="A1" s="218" t="s">
        <v>0</v>
      </c>
      <c r="B1" s="218"/>
      <c r="C1" s="218"/>
      <c r="D1" s="218"/>
      <c r="E1" s="218"/>
      <c r="F1" s="218"/>
    </row>
    <row r="2" spans="1:6" ht="18.75" customHeight="1">
      <c r="A2" s="219" t="s">
        <v>1</v>
      </c>
      <c r="B2" s="220"/>
      <c r="C2" s="220"/>
      <c r="D2" s="220"/>
      <c r="E2" s="220"/>
      <c r="F2" s="221"/>
    </row>
    <row r="3" spans="1:6" ht="38.25" customHeight="1">
      <c r="A3" s="222" t="s">
        <v>35</v>
      </c>
      <c r="B3" s="222"/>
      <c r="C3" s="222"/>
      <c r="D3" s="222"/>
      <c r="E3" s="222"/>
      <c r="F3" s="222"/>
    </row>
    <row r="4" spans="1:6" ht="21" customHeight="1">
      <c r="A4" s="1" t="s">
        <v>3</v>
      </c>
      <c r="B4" s="2" t="s">
        <v>4</v>
      </c>
      <c r="C4" s="2" t="s">
        <v>5</v>
      </c>
      <c r="D4" s="2" t="s">
        <v>6</v>
      </c>
      <c r="E4" s="1" t="s">
        <v>7</v>
      </c>
      <c r="F4" s="1" t="s">
        <v>8</v>
      </c>
    </row>
    <row r="5" spans="1:6" s="9" customFormat="1" ht="96.75" customHeight="1">
      <c r="A5" s="3" t="s">
        <v>9</v>
      </c>
      <c r="B5" s="4" t="s">
        <v>10</v>
      </c>
      <c r="C5" s="5">
        <v>122.62</v>
      </c>
      <c r="D5" s="6" t="s">
        <v>11</v>
      </c>
      <c r="E5" s="7">
        <v>151.82</v>
      </c>
      <c r="F5" s="8">
        <f>ROUND((C5*E5),2)</f>
        <v>18616.169999999998</v>
      </c>
    </row>
    <row r="6" spans="1:6" ht="98.25" customHeight="1">
      <c r="A6" s="10" t="s">
        <v>12</v>
      </c>
      <c r="B6" s="11" t="s">
        <v>13</v>
      </c>
      <c r="C6" s="12">
        <f>[1]SUMIT!G13</f>
        <v>51.656754460492785</v>
      </c>
      <c r="D6" s="6" t="s">
        <v>11</v>
      </c>
      <c r="E6" s="12">
        <v>589.51</v>
      </c>
      <c r="F6" s="8">
        <f t="shared" ref="F6:F15" si="0">ROUND((C6*E6),2)</f>
        <v>30452.17</v>
      </c>
    </row>
    <row r="7" spans="1:6" s="13" customFormat="1" ht="77.25" customHeight="1">
      <c r="A7" s="10" t="s">
        <v>14</v>
      </c>
      <c r="B7" s="11" t="s">
        <v>15</v>
      </c>
      <c r="C7" s="12">
        <f>[1]SUMIT!G18</f>
        <v>66.881903143585376</v>
      </c>
      <c r="D7" s="6" t="s">
        <v>11</v>
      </c>
      <c r="E7" s="12">
        <v>1756.4</v>
      </c>
      <c r="F7" s="8">
        <f t="shared" si="0"/>
        <v>117471.37</v>
      </c>
    </row>
    <row r="8" spans="1:6" s="13" customFormat="1" ht="74.25" customHeight="1">
      <c r="A8" s="14" t="s">
        <v>16</v>
      </c>
      <c r="B8" s="15" t="s">
        <v>17</v>
      </c>
      <c r="C8" s="12">
        <f>[1]SUMIT!G22</f>
        <v>67.969413763806287</v>
      </c>
      <c r="D8" s="6" t="s">
        <v>11</v>
      </c>
      <c r="E8" s="12">
        <v>4961.7299999999996</v>
      </c>
      <c r="F8" s="8">
        <f t="shared" si="0"/>
        <v>337245.88</v>
      </c>
    </row>
    <row r="9" spans="1:6" s="13" customFormat="1" ht="71.25" customHeight="1">
      <c r="A9" s="10" t="s">
        <v>18</v>
      </c>
      <c r="B9" s="11" t="s">
        <v>19</v>
      </c>
      <c r="C9" s="16">
        <f>[1]SUMIT!G26</f>
        <v>44.609665427509292</v>
      </c>
      <c r="D9" s="17" t="s">
        <v>20</v>
      </c>
      <c r="E9" s="18">
        <v>194.5</v>
      </c>
      <c r="F9" s="8">
        <f t="shared" si="0"/>
        <v>8676.58</v>
      </c>
    </row>
    <row r="10" spans="1:6" s="13" customFormat="1" ht="36.75" customHeight="1">
      <c r="A10" s="19">
        <v>6</v>
      </c>
      <c r="B10" s="20" t="s">
        <v>21</v>
      </c>
      <c r="C10" s="21"/>
      <c r="D10" s="21"/>
      <c r="E10" s="21"/>
      <c r="F10" s="8"/>
    </row>
    <row r="11" spans="1:6" s="13" customFormat="1" ht="31.5" customHeight="1">
      <c r="A11" s="22" t="s">
        <v>22</v>
      </c>
      <c r="B11" s="23" t="s">
        <v>23</v>
      </c>
      <c r="C11" s="12">
        <f>[1]SUMIT!G28</f>
        <v>29.226847918436704</v>
      </c>
      <c r="D11" s="12" t="s">
        <v>11</v>
      </c>
      <c r="E11" s="18">
        <f>'[2]RCC DRAIN'!I37</f>
        <v>848.82</v>
      </c>
      <c r="F11" s="8">
        <f t="shared" si="0"/>
        <v>24808.33</v>
      </c>
    </row>
    <row r="12" spans="1:6" s="13" customFormat="1" ht="30" customHeight="1">
      <c r="A12" s="22" t="s">
        <v>24</v>
      </c>
      <c r="B12" s="23" t="s">
        <v>25</v>
      </c>
      <c r="C12" s="12">
        <f>[1]SUMIT!G29</f>
        <v>51.656754460492785</v>
      </c>
      <c r="D12" s="12" t="s">
        <v>11</v>
      </c>
      <c r="E12" s="18">
        <f>'[2]RCC DRAIN'!I38</f>
        <v>313.14</v>
      </c>
      <c r="F12" s="8">
        <f t="shared" si="0"/>
        <v>16175.8</v>
      </c>
    </row>
    <row r="13" spans="1:6" s="13" customFormat="1" ht="27.75" customHeight="1">
      <c r="A13" s="22" t="s">
        <v>26</v>
      </c>
      <c r="B13" s="24" t="s">
        <v>27</v>
      </c>
      <c r="C13" s="12">
        <f>[1]SUMIT!G30</f>
        <v>58.453695836873408</v>
      </c>
      <c r="D13" s="12" t="s">
        <v>11</v>
      </c>
      <c r="E13" s="18">
        <f>'[2]RCC DRAIN'!I39</f>
        <v>447.06</v>
      </c>
      <c r="F13" s="8">
        <f t="shared" si="0"/>
        <v>26132.31</v>
      </c>
    </row>
    <row r="14" spans="1:6" s="13" customFormat="1" ht="30" customHeight="1">
      <c r="A14" s="22" t="s">
        <v>28</v>
      </c>
      <c r="B14" s="24" t="s">
        <v>29</v>
      </c>
      <c r="C14" s="12">
        <f>[1]SUMIT!G31</f>
        <v>66.881903143585376</v>
      </c>
      <c r="D14" s="12" t="s">
        <v>11</v>
      </c>
      <c r="E14" s="18">
        <f>'[2]RCC DRAIN'!I40</f>
        <v>679.66</v>
      </c>
      <c r="F14" s="8">
        <f t="shared" si="0"/>
        <v>45456.95</v>
      </c>
    </row>
    <row r="15" spans="1:6" s="13" customFormat="1" ht="29.25" customHeight="1">
      <c r="A15" s="22" t="s">
        <v>30</v>
      </c>
      <c r="B15" s="24" t="s">
        <v>31</v>
      </c>
      <c r="C15" s="12">
        <f>[1]SUMIT!G32</f>
        <v>122.61682242990655</v>
      </c>
      <c r="D15" s="12" t="s">
        <v>11</v>
      </c>
      <c r="E15" s="18">
        <f>'[2]RCC DRAIN'!I41</f>
        <v>117.54</v>
      </c>
      <c r="F15" s="8">
        <f t="shared" si="0"/>
        <v>14412.38</v>
      </c>
    </row>
    <row r="16" spans="1:6" s="13" customFormat="1" ht="28.5" customHeight="1">
      <c r="A16" s="25"/>
      <c r="B16" s="26"/>
      <c r="C16" s="27"/>
      <c r="D16" s="28"/>
      <c r="E16" s="28" t="s">
        <v>32</v>
      </c>
      <c r="F16" s="29">
        <f>SUM(F5:F15)</f>
        <v>639447.94000000006</v>
      </c>
    </row>
    <row r="17" spans="1:6" s="13" customFormat="1" ht="28.5" customHeight="1">
      <c r="A17" s="30"/>
      <c r="B17" s="31"/>
      <c r="C17" s="28"/>
      <c r="D17" s="27"/>
      <c r="E17" s="28" t="s">
        <v>33</v>
      </c>
      <c r="F17" s="29">
        <f>F16*18/100</f>
        <v>115100.62920000002</v>
      </c>
    </row>
    <row r="18" spans="1:6" s="13" customFormat="1" ht="27" customHeight="1">
      <c r="A18" s="30"/>
      <c r="B18" s="31"/>
      <c r="C18" s="28"/>
      <c r="D18" s="28"/>
      <c r="E18" s="28"/>
      <c r="F18" s="29">
        <f>F16+F17</f>
        <v>754548.56920000003</v>
      </c>
    </row>
    <row r="19" spans="1:6" s="13" customFormat="1" ht="29.25" customHeight="1">
      <c r="A19" s="30"/>
      <c r="B19" s="31"/>
      <c r="C19" s="32"/>
      <c r="D19" s="28"/>
      <c r="E19" s="28" t="s">
        <v>34</v>
      </c>
      <c r="F19" s="29">
        <f>F18*1/100</f>
        <v>7545.4856920000002</v>
      </c>
    </row>
    <row r="20" spans="1:6" s="13" customFormat="1" ht="31.5" customHeight="1">
      <c r="A20" s="30"/>
      <c r="B20" s="31"/>
      <c r="C20" s="32"/>
      <c r="D20" s="28"/>
      <c r="E20" s="28" t="s">
        <v>32</v>
      </c>
      <c r="F20" s="33">
        <f>F18+F19</f>
        <v>762094.05489200004</v>
      </c>
    </row>
    <row r="21" spans="1:6" s="13" customFormat="1" ht="15">
      <c r="C21" s="34"/>
      <c r="D21" s="34"/>
      <c r="E21" s="34"/>
      <c r="F21" s="34"/>
    </row>
    <row r="22" spans="1:6" s="13" customFormat="1" ht="15">
      <c r="C22" s="34"/>
      <c r="D22" s="34"/>
      <c r="E22" s="34"/>
      <c r="F22" s="34"/>
    </row>
    <row r="23" spans="1:6" s="13" customFormat="1" ht="15">
      <c r="C23" s="34"/>
      <c r="D23" s="34"/>
      <c r="E23" s="34"/>
      <c r="F23" s="34"/>
    </row>
    <row r="24" spans="1:6" s="13" customFormat="1" ht="15">
      <c r="C24" s="34"/>
      <c r="D24" s="34"/>
      <c r="E24" s="34"/>
      <c r="F24" s="34"/>
    </row>
    <row r="25" spans="1:6" s="13" customFormat="1" ht="15">
      <c r="C25" s="34"/>
      <c r="D25" s="34"/>
      <c r="E25" s="34"/>
      <c r="F25" s="34"/>
    </row>
    <row r="26" spans="1:6" s="13" customFormat="1" ht="15">
      <c r="C26" s="34"/>
      <c r="D26" s="34"/>
      <c r="E26" s="34"/>
      <c r="F26" s="34"/>
    </row>
    <row r="27" spans="1:6" s="13" customFormat="1" ht="15">
      <c r="C27" s="34"/>
      <c r="D27" s="34"/>
      <c r="E27" s="34"/>
      <c r="F27" s="34"/>
    </row>
    <row r="28" spans="1:6" s="13" customFormat="1" ht="15">
      <c r="C28" s="34"/>
      <c r="D28" s="34"/>
      <c r="E28" s="34"/>
      <c r="F28" s="34"/>
    </row>
    <row r="29" spans="1:6" s="13" customFormat="1" ht="15">
      <c r="C29" s="34"/>
      <c r="D29" s="34"/>
      <c r="E29" s="34"/>
      <c r="F29" s="34"/>
    </row>
    <row r="30" spans="1:6" s="13" customFormat="1" ht="15">
      <c r="C30" s="34"/>
      <c r="D30" s="34"/>
      <c r="E30" s="34"/>
      <c r="F30" s="34"/>
    </row>
    <row r="31" spans="1:6" s="13" customFormat="1" ht="15">
      <c r="C31" s="34"/>
      <c r="D31" s="34"/>
      <c r="E31" s="34"/>
      <c r="F31" s="34"/>
    </row>
    <row r="32" spans="1:6" s="13" customFormat="1" ht="15">
      <c r="C32" s="34"/>
      <c r="D32" s="34"/>
      <c r="E32" s="34"/>
      <c r="F32" s="34"/>
    </row>
    <row r="33" spans="1:6" s="13" customFormat="1" ht="15">
      <c r="C33" s="34"/>
      <c r="D33" s="34"/>
      <c r="E33" s="34"/>
      <c r="F33" s="34"/>
    </row>
    <row r="34" spans="1:6" s="13" customFormat="1" ht="15">
      <c r="C34" s="34"/>
      <c r="D34" s="34"/>
      <c r="E34" s="34"/>
      <c r="F34" s="34"/>
    </row>
    <row r="35" spans="1:6" s="13" customFormat="1" ht="15">
      <c r="C35" s="34"/>
      <c r="D35" s="34"/>
      <c r="E35" s="34"/>
      <c r="F35" s="34"/>
    </row>
    <row r="36" spans="1:6" s="13" customFormat="1" ht="15">
      <c r="C36" s="34"/>
      <c r="D36" s="34"/>
      <c r="E36" s="34"/>
      <c r="F36" s="34"/>
    </row>
    <row r="37" spans="1:6" s="13" customFormat="1" ht="15">
      <c r="C37" s="34"/>
      <c r="D37" s="34"/>
      <c r="E37" s="34"/>
      <c r="F37" s="34"/>
    </row>
    <row r="38" spans="1:6" s="13" customFormat="1">
      <c r="A38"/>
      <c r="B38"/>
      <c r="C38" s="35"/>
      <c r="D38" s="35"/>
      <c r="E38" s="35"/>
      <c r="F38" s="35"/>
    </row>
    <row r="39" spans="1:6">
      <c r="C39" s="35"/>
      <c r="D39" s="35"/>
      <c r="E39" s="35"/>
      <c r="F39" s="35"/>
    </row>
    <row r="40" spans="1:6">
      <c r="C40" s="35"/>
      <c r="D40" s="35"/>
      <c r="E40" s="35"/>
      <c r="F40" s="35"/>
    </row>
    <row r="41" spans="1:6">
      <c r="C41" s="35"/>
      <c r="D41" s="35"/>
      <c r="E41" s="35"/>
      <c r="F41" s="35"/>
    </row>
    <row r="42" spans="1:6">
      <c r="C42" s="35"/>
      <c r="D42" s="35"/>
      <c r="E42" s="35"/>
      <c r="F42" s="35"/>
    </row>
    <row r="43" spans="1:6">
      <c r="C43" s="35"/>
      <c r="D43" s="35"/>
      <c r="E43" s="35"/>
      <c r="F43" s="35"/>
    </row>
    <row r="44" spans="1:6">
      <c r="C44" s="35"/>
      <c r="D44" s="35"/>
      <c r="E44" s="35"/>
      <c r="F44" s="35"/>
    </row>
    <row r="45" spans="1:6">
      <c r="C45" s="35"/>
      <c r="D45" s="35"/>
      <c r="E45" s="35"/>
      <c r="F45" s="35"/>
    </row>
    <row r="46" spans="1:6">
      <c r="C46" s="35"/>
      <c r="D46" s="35"/>
      <c r="E46" s="35"/>
      <c r="F46" s="35"/>
    </row>
    <row r="47" spans="1:6">
      <c r="C47" s="35"/>
      <c r="D47" s="35"/>
      <c r="E47" s="35"/>
      <c r="F47" s="35"/>
    </row>
    <row r="48" spans="1:6">
      <c r="C48" s="35"/>
      <c r="D48" s="35"/>
      <c r="E48" s="35"/>
      <c r="F48" s="35"/>
    </row>
  </sheetData>
  <mergeCells count="3">
    <mergeCell ref="A1:F1"/>
    <mergeCell ref="A2:F2"/>
    <mergeCell ref="A3:F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abColor rgb="FFFF0000"/>
  </sheetPr>
  <dimension ref="A1"/>
  <sheetViews>
    <sheetView zoomScale="85" zoomScaleNormal="85" workbookViewId="0">
      <selection activeCell="H4" sqref="H4"/>
    </sheetView>
  </sheetViews>
  <sheetFormatPr defaultRowHeight="63.75" customHeight="1"/>
  <cols>
    <col min="1" max="16384" width="8.796875" style="9"/>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8.75"/>
  <cols>
    <col min="2" max="2" width="36" customWidth="1"/>
    <col min="6" max="6" width="12.19921875" customWidth="1"/>
  </cols>
  <sheetData>
    <row r="1" spans="1:6" ht="25.5">
      <c r="A1" s="268" t="s">
        <v>50</v>
      </c>
      <c r="B1" s="269"/>
      <c r="C1" s="269"/>
      <c r="D1" s="269"/>
      <c r="E1" s="269"/>
      <c r="F1" s="270"/>
    </row>
    <row r="2" spans="1:6" ht="18" customHeight="1">
      <c r="A2" s="271" t="s">
        <v>51</v>
      </c>
      <c r="B2" s="228"/>
      <c r="C2" s="228"/>
      <c r="D2" s="228"/>
      <c r="E2" s="228"/>
      <c r="F2" s="229"/>
    </row>
    <row r="3" spans="1:6" ht="44.25" customHeight="1">
      <c r="A3" s="272" t="s">
        <v>160</v>
      </c>
      <c r="B3" s="273"/>
      <c r="C3" s="273"/>
      <c r="D3" s="273"/>
      <c r="E3" s="273"/>
      <c r="F3" s="274"/>
    </row>
    <row r="4" spans="1:6" ht="31.5">
      <c r="A4" s="161" t="s">
        <v>52</v>
      </c>
      <c r="B4" s="162" t="s">
        <v>39</v>
      </c>
      <c r="C4" s="162" t="s">
        <v>5</v>
      </c>
      <c r="D4" s="162" t="s">
        <v>6</v>
      </c>
      <c r="E4" s="161" t="s">
        <v>53</v>
      </c>
      <c r="F4" s="161" t="s">
        <v>54</v>
      </c>
    </row>
    <row r="5" spans="1:6" ht="33" customHeight="1">
      <c r="A5" s="161">
        <v>1</v>
      </c>
      <c r="B5" s="163" t="s">
        <v>42</v>
      </c>
      <c r="C5" s="162">
        <v>2</v>
      </c>
      <c r="D5" s="162" t="s">
        <v>161</v>
      </c>
      <c r="E5" s="161">
        <v>326.85000000000002</v>
      </c>
      <c r="F5" s="164">
        <f t="shared" ref="F5:F10" si="0">ROUND(C5*E5,2)</f>
        <v>653.70000000000005</v>
      </c>
    </row>
    <row r="6" spans="1:6" ht="106.5" customHeight="1">
      <c r="A6" s="161" t="str">
        <f>[8]ESTIMATE!A5</f>
        <v>2       5.1.1.</v>
      </c>
      <c r="B6" s="165" t="s">
        <v>162</v>
      </c>
      <c r="C6" s="166">
        <f>[8]ESTIMATE!G8</f>
        <v>75.900000000000006</v>
      </c>
      <c r="D6" s="167" t="s">
        <v>11</v>
      </c>
      <c r="E6" s="166">
        <f>[8]ESTIMATE!I8</f>
        <v>151.82</v>
      </c>
      <c r="F6" s="166">
        <f t="shared" si="0"/>
        <v>11523.14</v>
      </c>
    </row>
    <row r="7" spans="1:6" ht="110.25">
      <c r="A7" s="161" t="str">
        <f>[8]ESTIMATE!A9</f>
        <v>3.           M-004</v>
      </c>
      <c r="B7" s="165" t="s">
        <v>13</v>
      </c>
      <c r="C7" s="166">
        <f>[8]ESTIMATE!G12</f>
        <v>28.32</v>
      </c>
      <c r="D7" s="167" t="s">
        <v>11</v>
      </c>
      <c r="E7" s="166">
        <f>[8]ESTIMATE!I12</f>
        <v>347.87</v>
      </c>
      <c r="F7" s="166">
        <f t="shared" si="0"/>
        <v>9851.68</v>
      </c>
    </row>
    <row r="8" spans="1:6" ht="78.75">
      <c r="A8" s="161" t="str">
        <f>[8]ESTIMATE!A13</f>
        <v>4.       5.6.8 (C.I.W.)</v>
      </c>
      <c r="B8" s="165" t="s">
        <v>15</v>
      </c>
      <c r="C8" s="166">
        <f>[8]ESTIMATE!G16</f>
        <v>47.58</v>
      </c>
      <c r="D8" s="167" t="s">
        <v>11</v>
      </c>
      <c r="E8" s="166">
        <f>[8]ESTIMATE!I16</f>
        <v>1756.4</v>
      </c>
      <c r="F8" s="166">
        <f t="shared" si="0"/>
        <v>83569.509999999995</v>
      </c>
    </row>
    <row r="9" spans="1:6" ht="65.099999999999994" customHeight="1">
      <c r="A9" s="161" t="str">
        <f>[8]ESTIMATE!A17</f>
        <v>5.     5.3.1.1</v>
      </c>
      <c r="B9" s="168" t="s">
        <v>44</v>
      </c>
      <c r="C9" s="166">
        <f>[8]ESTIMATE!G20</f>
        <v>56.64</v>
      </c>
      <c r="D9" s="167" t="s">
        <v>11</v>
      </c>
      <c r="E9" s="166">
        <f>[8]ESTIMATE!I20</f>
        <v>4961.7299999999996</v>
      </c>
      <c r="F9" s="166">
        <f t="shared" si="0"/>
        <v>281032.39</v>
      </c>
    </row>
    <row r="10" spans="1:6" ht="49.5" customHeight="1">
      <c r="A10" s="161" t="str">
        <f>[8]ESTIMATE!A21</f>
        <v>6               5.3.17.1</v>
      </c>
      <c r="B10" s="165" t="s">
        <v>19</v>
      </c>
      <c r="C10" s="166">
        <f>[8]ESTIMATE!G24</f>
        <v>37.17</v>
      </c>
      <c r="D10" s="169" t="s">
        <v>20</v>
      </c>
      <c r="E10" s="161">
        <f>[8]ESTIMATE!I24</f>
        <v>194.5</v>
      </c>
      <c r="F10" s="170">
        <f t="shared" si="0"/>
        <v>7229.57</v>
      </c>
    </row>
    <row r="11" spans="1:6">
      <c r="A11" s="161">
        <f>[8]ESTIMATE!A25</f>
        <v>7</v>
      </c>
      <c r="B11" s="171" t="s">
        <v>21</v>
      </c>
      <c r="C11" s="167"/>
      <c r="D11" s="172"/>
      <c r="E11" s="173"/>
      <c r="F11" s="166"/>
    </row>
    <row r="12" spans="1:6">
      <c r="A12" s="174" t="s">
        <v>22</v>
      </c>
      <c r="B12" s="175" t="s">
        <v>145</v>
      </c>
      <c r="C12" s="167">
        <f>PRODUCT('[8]MATERIAL '!F7)</f>
        <v>24.36</v>
      </c>
      <c r="D12" s="172" t="s">
        <v>11</v>
      </c>
      <c r="E12" s="39">
        <f>[8]ESTIMATE!I26</f>
        <v>848.82</v>
      </c>
      <c r="F12" s="166">
        <f t="shared" ref="F12:F16" si="1">ROUND(C12*E12,2)</f>
        <v>20677.259999999998</v>
      </c>
    </row>
    <row r="13" spans="1:6">
      <c r="A13" s="174" t="s">
        <v>24</v>
      </c>
      <c r="B13" s="175" t="s">
        <v>163</v>
      </c>
      <c r="C13" s="167">
        <f>PRODUCT('[8]MATERIAL '!G7)</f>
        <v>28.32</v>
      </c>
      <c r="D13" s="172" t="s">
        <v>11</v>
      </c>
      <c r="E13" s="176">
        <f>[8]ESTIMATE!I27</f>
        <v>447.06</v>
      </c>
      <c r="F13" s="166">
        <f t="shared" si="1"/>
        <v>12660.74</v>
      </c>
    </row>
    <row r="14" spans="1:6">
      <c r="A14" s="174" t="s">
        <v>26</v>
      </c>
      <c r="B14" s="177" t="s">
        <v>164</v>
      </c>
      <c r="C14" s="167">
        <f>PRODUCT('[8]MATERIAL '!H7)</f>
        <v>48.71</v>
      </c>
      <c r="D14" s="172" t="s">
        <v>11</v>
      </c>
      <c r="E14" s="176">
        <f>[8]ESTIMATE!I28</f>
        <v>447.06</v>
      </c>
      <c r="F14" s="166">
        <f t="shared" si="1"/>
        <v>21776.29</v>
      </c>
    </row>
    <row r="15" spans="1:6">
      <c r="A15" s="174" t="s">
        <v>28</v>
      </c>
      <c r="B15" s="177" t="s">
        <v>165</v>
      </c>
      <c r="C15" s="167">
        <f>PRODUCT('[8]MATERIAL '!I7)</f>
        <v>47.58</v>
      </c>
      <c r="D15" s="172" t="s">
        <v>11</v>
      </c>
      <c r="E15" s="39">
        <f>[8]ESTIMATE!I29</f>
        <v>679.66</v>
      </c>
      <c r="F15" s="166">
        <f t="shared" si="1"/>
        <v>32338.22</v>
      </c>
    </row>
    <row r="16" spans="1:6">
      <c r="A16" s="174" t="s">
        <v>30</v>
      </c>
      <c r="B16" s="165" t="s">
        <v>157</v>
      </c>
      <c r="C16" s="167">
        <f>PRODUCT('[8]MATERIAL '!J7)</f>
        <v>75.900000000000006</v>
      </c>
      <c r="D16" s="172" t="s">
        <v>11</v>
      </c>
      <c r="E16" s="176">
        <f>[8]ESTIMATE!I30</f>
        <v>117.54</v>
      </c>
      <c r="F16" s="166">
        <f t="shared" si="1"/>
        <v>8921.2900000000009</v>
      </c>
    </row>
    <row r="17" spans="1:6">
      <c r="A17" s="178"/>
      <c r="B17" s="178"/>
      <c r="C17" s="266" t="s">
        <v>46</v>
      </c>
      <c r="D17" s="266"/>
      <c r="E17" s="267"/>
      <c r="F17" s="166">
        <f>SUM(F5:F16)</f>
        <v>490233.79</v>
      </c>
    </row>
    <row r="18" spans="1:6">
      <c r="A18" s="178"/>
      <c r="B18" s="178"/>
      <c r="C18" s="275" t="s">
        <v>47</v>
      </c>
      <c r="D18" s="266"/>
      <c r="E18" s="267"/>
      <c r="F18" s="166">
        <f>F17*18%</f>
        <v>88242.08219999999</v>
      </c>
    </row>
    <row r="19" spans="1:6">
      <c r="A19" s="178"/>
      <c r="B19" s="178"/>
      <c r="C19" s="275" t="s">
        <v>46</v>
      </c>
      <c r="D19" s="266"/>
      <c r="E19" s="267"/>
      <c r="F19" s="166">
        <f>SUM(F17:F18)</f>
        <v>578475.87219999998</v>
      </c>
    </row>
    <row r="20" spans="1:6">
      <c r="A20" s="178"/>
      <c r="B20" s="178"/>
      <c r="C20" s="266" t="s">
        <v>166</v>
      </c>
      <c r="D20" s="266"/>
      <c r="E20" s="267"/>
      <c r="F20" s="166">
        <f>ROUND(F19*0.01,2)</f>
        <v>5784.76</v>
      </c>
    </row>
    <row r="21" spans="1:6">
      <c r="A21" s="178"/>
      <c r="B21" s="178"/>
      <c r="C21" s="266" t="s">
        <v>46</v>
      </c>
      <c r="D21" s="266"/>
      <c r="E21" s="267"/>
      <c r="F21" s="179">
        <f>F19+F20</f>
        <v>584260.63219999999</v>
      </c>
    </row>
    <row r="22" spans="1:6">
      <c r="A22" s="178"/>
      <c r="B22" s="178"/>
      <c r="C22" s="266" t="s">
        <v>49</v>
      </c>
      <c r="D22" s="266"/>
      <c r="E22" s="267"/>
      <c r="F22" s="180">
        <v>584260</v>
      </c>
    </row>
    <row r="23" spans="1:6">
      <c r="A23" s="181"/>
      <c r="B23" s="181"/>
      <c r="C23" s="182"/>
      <c r="D23" s="182"/>
      <c r="E23" s="182"/>
      <c r="F23" s="183"/>
    </row>
    <row r="24" spans="1:6" ht="15.75" customHeight="1">
      <c r="A24" s="181"/>
      <c r="B24" s="181"/>
      <c r="C24" s="182"/>
      <c r="D24" s="182"/>
      <c r="E24" s="182"/>
      <c r="F24" s="183"/>
    </row>
    <row r="25" spans="1:6" hidden="1">
      <c r="A25" s="184"/>
    </row>
    <row r="26" spans="1:6" ht="38.25" customHeight="1">
      <c r="A26" s="184"/>
    </row>
    <row r="27" spans="1:6">
      <c r="A27" s="184"/>
      <c r="B27" s="185"/>
      <c r="C27" s="186"/>
      <c r="F27" s="187" t="s">
        <v>62</v>
      </c>
    </row>
    <row r="28" spans="1:6">
      <c r="A28" s="184"/>
      <c r="B28" s="185"/>
      <c r="C28" s="186"/>
      <c r="F28" s="187" t="s">
        <v>63</v>
      </c>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8.75"/>
  <cols>
    <col min="2" max="2" width="36" customWidth="1"/>
    <col min="3" max="3" width="8.796875" style="195"/>
    <col min="5" max="5" width="8.09765625" customWidth="1"/>
    <col min="6" max="6" width="10.69921875" bestFit="1" customWidth="1"/>
  </cols>
  <sheetData>
    <row r="1" spans="1:6" ht="20.25">
      <c r="A1" s="271" t="s">
        <v>50</v>
      </c>
      <c r="B1" s="228"/>
      <c r="C1" s="228"/>
      <c r="D1" s="228"/>
      <c r="E1" s="228"/>
      <c r="F1" s="229"/>
    </row>
    <row r="2" spans="1:6" ht="18" customHeight="1">
      <c r="A2" s="219" t="s">
        <v>51</v>
      </c>
      <c r="B2" s="220"/>
      <c r="C2" s="220"/>
      <c r="D2" s="220"/>
      <c r="E2" s="220"/>
      <c r="F2" s="221"/>
    </row>
    <row r="3" spans="1:6" ht="39.6" customHeight="1">
      <c r="A3" s="277" t="str">
        <f>[9]ESTIMATE!A2</f>
        <v>Name of Work :-CONSTRUCTION OF PCC R0AD AT AT GIRZA TOLI DIBDHI JAYANTI STORE TO HOUSE OF BANDHAN JEE UNDER WARD NO-36</v>
      </c>
      <c r="B3" s="278"/>
      <c r="C3" s="278"/>
      <c r="D3" s="278"/>
      <c r="E3" s="278"/>
      <c r="F3" s="279"/>
    </row>
    <row r="4" spans="1:6" ht="32.450000000000003" customHeight="1">
      <c r="A4" s="39" t="s">
        <v>52</v>
      </c>
      <c r="B4" s="69" t="s">
        <v>173</v>
      </c>
      <c r="C4" s="69" t="s">
        <v>5</v>
      </c>
      <c r="D4" s="69" t="s">
        <v>6</v>
      </c>
      <c r="E4" s="39" t="s">
        <v>53</v>
      </c>
      <c r="F4" s="164" t="s">
        <v>54</v>
      </c>
    </row>
    <row r="5" spans="1:6" ht="28.5">
      <c r="A5" s="39">
        <v>1</v>
      </c>
      <c r="B5" s="163" t="s">
        <v>42</v>
      </c>
      <c r="C5" s="176">
        <f>[9]ESTIMATE!G4</f>
        <v>5</v>
      </c>
      <c r="D5" s="188" t="s">
        <v>174</v>
      </c>
      <c r="E5" s="189">
        <f>[9]ESTIMATE!I4</f>
        <v>326.85000000000002</v>
      </c>
      <c r="F5" s="164">
        <f t="shared" ref="F5:F10" si="0">ROUND(C5*E5,2)</f>
        <v>1634.25</v>
      </c>
    </row>
    <row r="6" spans="1:6" ht="99.75">
      <c r="A6" s="39" t="s">
        <v>175</v>
      </c>
      <c r="B6" s="71" t="s">
        <v>162</v>
      </c>
      <c r="C6" s="72">
        <f>[9]ESTIMATE!G8</f>
        <v>77.8</v>
      </c>
      <c r="D6" s="73" t="s">
        <v>11</v>
      </c>
      <c r="E6" s="190">
        <f>[9]ESTIMATE!I8</f>
        <v>151.82</v>
      </c>
      <c r="F6" s="191">
        <f t="shared" si="0"/>
        <v>11811.6</v>
      </c>
    </row>
    <row r="7" spans="1:6" ht="114">
      <c r="A7" s="39" t="s">
        <v>176</v>
      </c>
      <c r="B7" s="71" t="s">
        <v>177</v>
      </c>
      <c r="C7" s="72">
        <f>[9]ESTIMATE!G12</f>
        <v>29.03</v>
      </c>
      <c r="D7" s="73" t="s">
        <v>11</v>
      </c>
      <c r="E7" s="190">
        <f>[9]ESTIMATE!I12</f>
        <v>347.85</v>
      </c>
      <c r="F7" s="191">
        <f t="shared" si="0"/>
        <v>10098.09</v>
      </c>
    </row>
    <row r="8" spans="1:6" ht="71.25">
      <c r="A8" s="39" t="s">
        <v>178</v>
      </c>
      <c r="B8" s="71" t="s">
        <v>15</v>
      </c>
      <c r="C8" s="72">
        <f>[9]ESTIMATE!G16</f>
        <v>48.77</v>
      </c>
      <c r="D8" s="73" t="s">
        <v>11</v>
      </c>
      <c r="E8" s="190">
        <f>[9]ESTIMATE!I16</f>
        <v>1756.4</v>
      </c>
      <c r="F8" s="191">
        <f t="shared" si="0"/>
        <v>85659.63</v>
      </c>
    </row>
    <row r="9" spans="1:6" ht="71.25">
      <c r="A9" s="39" t="s">
        <v>179</v>
      </c>
      <c r="B9" s="74" t="s">
        <v>180</v>
      </c>
      <c r="C9" s="72">
        <f>[9]ESTIMATE!G20</f>
        <v>58.06</v>
      </c>
      <c r="D9" s="73" t="s">
        <v>11</v>
      </c>
      <c r="E9" s="72">
        <f>[9]ESTIMATE!I20</f>
        <v>4961.7299999999996</v>
      </c>
      <c r="F9" s="191">
        <f t="shared" si="0"/>
        <v>288078.03999999998</v>
      </c>
    </row>
    <row r="10" spans="1:6" ht="42.75">
      <c r="A10" s="39" t="s">
        <v>181</v>
      </c>
      <c r="B10" s="71" t="s">
        <v>182</v>
      </c>
      <c r="C10" s="72">
        <f>[9]ESTIMATE!G24</f>
        <v>38.1</v>
      </c>
      <c r="D10" s="75" t="s">
        <v>20</v>
      </c>
      <c r="E10" s="176">
        <f>[9]ESTIMATE!I24</f>
        <v>194.5</v>
      </c>
      <c r="F10" s="164">
        <f t="shared" si="0"/>
        <v>7410.45</v>
      </c>
    </row>
    <row r="11" spans="1:6">
      <c r="A11" s="39">
        <v>7</v>
      </c>
      <c r="B11" s="192" t="s">
        <v>21</v>
      </c>
      <c r="C11" s="72"/>
      <c r="D11" s="77"/>
      <c r="E11" s="193"/>
      <c r="F11" s="191"/>
    </row>
    <row r="12" spans="1:6">
      <c r="A12" s="79" t="s">
        <v>22</v>
      </c>
      <c r="B12" s="80" t="s">
        <v>23</v>
      </c>
      <c r="C12" s="72">
        <f>[9]ESTIMATE!G26</f>
        <v>24.97</v>
      </c>
      <c r="D12" s="77" t="s">
        <v>11</v>
      </c>
      <c r="E12" s="189">
        <f>[9]ESTIMATE!I26</f>
        <v>848.82</v>
      </c>
      <c r="F12" s="191">
        <f t="shared" ref="F12:F16" si="1">ROUND(C12*E12,2)</f>
        <v>21195.040000000001</v>
      </c>
    </row>
    <row r="13" spans="1:6">
      <c r="A13" s="79" t="s">
        <v>24</v>
      </c>
      <c r="B13" s="81" t="s">
        <v>183</v>
      </c>
      <c r="C13" s="72">
        <f>[9]ESTIMATE!G27</f>
        <v>29.03</v>
      </c>
      <c r="D13" s="77" t="s">
        <v>11</v>
      </c>
      <c r="E13" s="189">
        <f>[9]ESTIMATE!I27</f>
        <v>447.06</v>
      </c>
      <c r="F13" s="191">
        <f t="shared" si="1"/>
        <v>12978.15</v>
      </c>
    </row>
    <row r="14" spans="1:6">
      <c r="A14" s="79" t="s">
        <v>26</v>
      </c>
      <c r="B14" s="81" t="s">
        <v>27</v>
      </c>
      <c r="C14" s="72">
        <f>[9]ESTIMATE!G28</f>
        <v>49.93</v>
      </c>
      <c r="D14" s="77" t="s">
        <v>11</v>
      </c>
      <c r="E14" s="189">
        <f>[9]ESTIMATE!I28</f>
        <v>447.06</v>
      </c>
      <c r="F14" s="191">
        <f t="shared" si="1"/>
        <v>22321.71</v>
      </c>
    </row>
    <row r="15" spans="1:6">
      <c r="A15" s="79" t="s">
        <v>28</v>
      </c>
      <c r="B15" s="81" t="s">
        <v>29</v>
      </c>
      <c r="C15" s="72">
        <f>[9]ESTIMATE!G29</f>
        <v>48.77</v>
      </c>
      <c r="D15" s="77" t="s">
        <v>11</v>
      </c>
      <c r="E15" s="189">
        <f>[9]ESTIMATE!I29</f>
        <v>679.66</v>
      </c>
      <c r="F15" s="191">
        <f t="shared" si="1"/>
        <v>33147.019999999997</v>
      </c>
    </row>
    <row r="16" spans="1:6">
      <c r="A16" s="79" t="s">
        <v>30</v>
      </c>
      <c r="B16" s="71" t="s">
        <v>184</v>
      </c>
      <c r="C16" s="72">
        <f>[9]ESTIMATE!G30</f>
        <v>77.8</v>
      </c>
      <c r="D16" s="77" t="s">
        <v>11</v>
      </c>
      <c r="E16" s="189">
        <f>[9]ESTIMATE!I30</f>
        <v>117.54</v>
      </c>
      <c r="F16" s="191">
        <f t="shared" si="1"/>
        <v>9144.61</v>
      </c>
    </row>
    <row r="17" spans="1:6">
      <c r="A17" s="82"/>
      <c r="B17" s="194"/>
      <c r="C17" s="276" t="s">
        <v>46</v>
      </c>
      <c r="D17" s="276"/>
      <c r="E17" s="276"/>
      <c r="F17" s="191">
        <f>SUM(F5:F16)</f>
        <v>503478.59</v>
      </c>
    </row>
    <row r="18" spans="1:6">
      <c r="A18" s="82"/>
      <c r="B18" s="194"/>
      <c r="C18" s="276" t="s">
        <v>47</v>
      </c>
      <c r="D18" s="276"/>
      <c r="E18" s="276"/>
      <c r="F18" s="191">
        <f>F17*18%</f>
        <v>90626.146200000003</v>
      </c>
    </row>
    <row r="19" spans="1:6">
      <c r="A19" s="82"/>
      <c r="B19" s="194"/>
      <c r="C19" s="276" t="s">
        <v>46</v>
      </c>
      <c r="D19" s="276"/>
      <c r="E19" s="276"/>
      <c r="F19" s="191">
        <f>SUM(F17:F18)</f>
        <v>594104.73620000004</v>
      </c>
    </row>
    <row r="20" spans="1:6">
      <c r="A20" s="82"/>
      <c r="B20" s="194"/>
      <c r="C20" s="276" t="s">
        <v>48</v>
      </c>
      <c r="D20" s="276"/>
      <c r="E20" s="276"/>
      <c r="F20" s="191">
        <f>ROUND(F19*0.01,2)</f>
        <v>5941.05</v>
      </c>
    </row>
    <row r="21" spans="1:6">
      <c r="A21" s="82"/>
      <c r="B21" s="194"/>
      <c r="C21" s="276" t="s">
        <v>32</v>
      </c>
      <c r="D21" s="276"/>
      <c r="E21" s="276"/>
      <c r="F21" s="191">
        <f>SUM(F19:F20)</f>
        <v>600045.78620000009</v>
      </c>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8.75"/>
  <cols>
    <col min="2" max="2" width="32.296875" customWidth="1"/>
    <col min="3" max="3" width="7.5" customWidth="1"/>
    <col min="4" max="4" width="6.796875" customWidth="1"/>
    <col min="5" max="5" width="7.09765625" customWidth="1"/>
    <col min="6" max="6" width="10.5" customWidth="1"/>
  </cols>
  <sheetData>
    <row r="1" spans="1:6" ht="20.25">
      <c r="A1" s="281" t="s">
        <v>50</v>
      </c>
      <c r="B1" s="282"/>
      <c r="C1" s="282"/>
      <c r="D1" s="282"/>
      <c r="E1" s="282"/>
      <c r="F1" s="282"/>
    </row>
    <row r="2" spans="1:6" ht="18" customHeight="1">
      <c r="A2" s="283" t="s">
        <v>51</v>
      </c>
      <c r="B2" s="284"/>
      <c r="C2" s="284"/>
      <c r="D2" s="284"/>
      <c r="E2" s="284"/>
      <c r="F2" s="284"/>
    </row>
    <row r="3" spans="1:6" ht="31.5" customHeight="1">
      <c r="A3" s="285" t="str">
        <f>[10]ESTIMATE!A2</f>
        <v>Name of Work :-CONSTRUCTION OF PCC R0AD AT AT GIRZA TOLI DIBDHI P.C.C. MAIN ROD TO HOUSE OF NOBOR EKKA UNDER WARD NO-36</v>
      </c>
      <c r="B3" s="286"/>
      <c r="C3" s="286"/>
      <c r="D3" s="286"/>
      <c r="E3" s="286"/>
      <c r="F3" s="286"/>
    </row>
    <row r="4" spans="1:6" ht="31.5">
      <c r="A4" s="39" t="s">
        <v>52</v>
      </c>
      <c r="B4" s="69" t="s">
        <v>173</v>
      </c>
      <c r="C4" s="69" t="s">
        <v>5</v>
      </c>
      <c r="D4" s="69" t="s">
        <v>6</v>
      </c>
      <c r="E4" s="39" t="s">
        <v>53</v>
      </c>
      <c r="F4" s="164" t="s">
        <v>54</v>
      </c>
    </row>
    <row r="5" spans="1:6" ht="21.95" customHeight="1">
      <c r="A5" s="39">
        <v>1</v>
      </c>
      <c r="B5" s="163" t="str">
        <f>[10]ESTIMATE!B4</f>
        <v>Labour for site clearence before and after the work etc.</v>
      </c>
      <c r="C5" s="188">
        <f>[10]ESTIMATE!G4</f>
        <v>5</v>
      </c>
      <c r="D5" s="188" t="s">
        <v>174</v>
      </c>
      <c r="E5" s="189">
        <f>[10]ESTIMATE!I4</f>
        <v>326.85000000000002</v>
      </c>
      <c r="F5" s="164">
        <f t="shared" ref="F5:F10" si="0">ROUND(C5*E5,2)</f>
        <v>1634.25</v>
      </c>
    </row>
    <row r="6" spans="1:6" ht="114">
      <c r="A6" s="39" t="s">
        <v>175</v>
      </c>
      <c r="B6" s="71" t="str">
        <f>[10]ESTIMATE!B5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72">
        <f>[10]ESTIMATE!G8</f>
        <v>68.31</v>
      </c>
      <c r="D6" s="73" t="s">
        <v>11</v>
      </c>
      <c r="E6" s="190">
        <f>[10]ESTIMATE!I8</f>
        <v>151.82</v>
      </c>
      <c r="F6" s="191">
        <f t="shared" si="0"/>
        <v>10370.82</v>
      </c>
    </row>
    <row r="7" spans="1:6" ht="128.25">
      <c r="A7" s="39" t="s">
        <v>176</v>
      </c>
      <c r="B7" s="71" t="str">
        <f>[10]ESTIMATE!B9</f>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
      <c r="C7" s="72">
        <f>[10]ESTIMATE!G12</f>
        <v>25.49</v>
      </c>
      <c r="D7" s="73" t="s">
        <v>11</v>
      </c>
      <c r="E7" s="190">
        <f>[10]ESTIMATE!I12</f>
        <v>347.85</v>
      </c>
      <c r="F7" s="191">
        <f t="shared" si="0"/>
        <v>8866.7000000000007</v>
      </c>
    </row>
    <row r="8" spans="1:6" ht="85.5">
      <c r="A8" s="39" t="s">
        <v>178</v>
      </c>
      <c r="B8" s="71" t="str">
        <f>[10]ESTIMATE!B13</f>
        <v>Supplying and laying (properly as per design and drawing )rip-rap with good quality of boulders duly packed including the cost of materials,royalty all taxes etc.but excluding the cost of carriage, all complete as per specification and direction of E/I.</v>
      </c>
      <c r="C8" s="72">
        <f>[10]ESTIMATE!G16</f>
        <v>42.82</v>
      </c>
      <c r="D8" s="73" t="s">
        <v>11</v>
      </c>
      <c r="E8" s="190">
        <f>[10]ESTIMATE!I16</f>
        <v>1756.4</v>
      </c>
      <c r="F8" s="191">
        <f t="shared" si="0"/>
        <v>75209.05</v>
      </c>
    </row>
    <row r="9" spans="1:6" ht="85.5">
      <c r="A9" s="39" t="s">
        <v>179</v>
      </c>
      <c r="B9" s="74" t="str">
        <f>[10]ESTIMATE!B17</f>
        <v xml:space="preserve">Providing and laying in position cement concrete of specified grade excluding the cost of centering and shuttering- All work upto plinth level : 1:1½:3 (1 cemet : 1½ coarse sand (zone-iii) : 3 graded stone aggregate 20mm nominal size )  </v>
      </c>
      <c r="C9" s="72">
        <f>[10]ESTIMATE!G20</f>
        <v>50.98</v>
      </c>
      <c r="D9" s="73" t="s">
        <v>11</v>
      </c>
      <c r="E9" s="72">
        <f>[10]ESTIMATE!I20</f>
        <v>4961.7299999999996</v>
      </c>
      <c r="F9" s="191">
        <f t="shared" si="0"/>
        <v>252949</v>
      </c>
    </row>
    <row r="10" spans="1:6" ht="57">
      <c r="A10" s="39" t="s">
        <v>181</v>
      </c>
      <c r="B10" s="71" t="str">
        <f>[10]ESTIMATE!B21</f>
        <v>Centering and shuttering including strutting, propping etc. and removal of from for Foundations, footings, bases of columns, etc. for mass concrete.</v>
      </c>
      <c r="C10" s="72">
        <f>[10]ESTIMATE!G24</f>
        <v>41.82</v>
      </c>
      <c r="D10" s="75" t="s">
        <v>20</v>
      </c>
      <c r="E10" s="176">
        <f>[10]ESTIMATE!I24</f>
        <v>194.5</v>
      </c>
      <c r="F10" s="164">
        <f t="shared" si="0"/>
        <v>8133.99</v>
      </c>
    </row>
    <row r="11" spans="1:6">
      <c r="A11" s="39">
        <v>7</v>
      </c>
      <c r="B11" s="192" t="s">
        <v>21</v>
      </c>
      <c r="C11" s="73"/>
      <c r="D11" s="77"/>
      <c r="E11" s="193"/>
      <c r="F11" s="191"/>
    </row>
    <row r="12" spans="1:6">
      <c r="A12" s="79" t="s">
        <v>22</v>
      </c>
      <c r="B12" s="80" t="s">
        <v>23</v>
      </c>
      <c r="C12" s="73">
        <f>[10]ESTIMATE!G26</f>
        <v>21.92</v>
      </c>
      <c r="D12" s="77" t="s">
        <v>11</v>
      </c>
      <c r="E12" s="189">
        <f>[10]ESTIMATE!I26</f>
        <v>848.82</v>
      </c>
      <c r="F12" s="191">
        <f t="shared" ref="F12:F16" si="1">ROUND(C12*E12,2)</f>
        <v>18606.13</v>
      </c>
    </row>
    <row r="13" spans="1:6">
      <c r="A13" s="79" t="s">
        <v>24</v>
      </c>
      <c r="B13" s="81" t="s">
        <v>183</v>
      </c>
      <c r="C13" s="73">
        <f>[10]ESTIMATE!G27</f>
        <v>25.49</v>
      </c>
      <c r="D13" s="77" t="s">
        <v>11</v>
      </c>
      <c r="E13" s="189">
        <f>[10]ESTIMATE!I27</f>
        <v>447.06</v>
      </c>
      <c r="F13" s="191">
        <f t="shared" si="1"/>
        <v>11395.56</v>
      </c>
    </row>
    <row r="14" spans="1:6">
      <c r="A14" s="79" t="s">
        <v>26</v>
      </c>
      <c r="B14" s="81" t="s">
        <v>27</v>
      </c>
      <c r="C14" s="73">
        <f>[10]ESTIMATE!G28</f>
        <v>43.84</v>
      </c>
      <c r="D14" s="77" t="s">
        <v>11</v>
      </c>
      <c r="E14" s="189">
        <f>[10]ESTIMATE!I28</f>
        <v>447.06</v>
      </c>
      <c r="F14" s="191">
        <f t="shared" si="1"/>
        <v>19599.11</v>
      </c>
    </row>
    <row r="15" spans="1:6">
      <c r="A15" s="79" t="s">
        <v>28</v>
      </c>
      <c r="B15" s="81" t="s">
        <v>29</v>
      </c>
      <c r="C15" s="73">
        <f>[10]ESTIMATE!G29</f>
        <v>42.82</v>
      </c>
      <c r="D15" s="77" t="s">
        <v>11</v>
      </c>
      <c r="E15" s="189">
        <f>[10]ESTIMATE!I29</f>
        <v>679.66</v>
      </c>
      <c r="F15" s="191">
        <f t="shared" si="1"/>
        <v>29103.040000000001</v>
      </c>
    </row>
    <row r="16" spans="1:6">
      <c r="A16" s="79" t="s">
        <v>30</v>
      </c>
      <c r="B16" s="71" t="s">
        <v>184</v>
      </c>
      <c r="C16" s="73">
        <f>[10]ESTIMATE!G30</f>
        <v>68.31</v>
      </c>
      <c r="D16" s="77" t="s">
        <v>11</v>
      </c>
      <c r="E16" s="189">
        <f>[10]ESTIMATE!I30</f>
        <v>117.54</v>
      </c>
      <c r="F16" s="191">
        <f t="shared" si="1"/>
        <v>8029.16</v>
      </c>
    </row>
    <row r="17" spans="1:6">
      <c r="A17" s="82"/>
      <c r="B17" s="194"/>
      <c r="C17" s="280" t="s">
        <v>46</v>
      </c>
      <c r="D17" s="280"/>
      <c r="E17" s="280"/>
      <c r="F17" s="191">
        <f>SUM(F5:F16)</f>
        <v>443896.80999999994</v>
      </c>
    </row>
    <row r="18" spans="1:6">
      <c r="A18" s="82"/>
      <c r="B18" s="194"/>
      <c r="C18" s="280" t="s">
        <v>47</v>
      </c>
      <c r="D18" s="280"/>
      <c r="E18" s="280"/>
      <c r="F18" s="191">
        <f>F17*18%</f>
        <v>79901.425799999983</v>
      </c>
    </row>
    <row r="19" spans="1:6">
      <c r="A19" s="82"/>
      <c r="B19" s="194"/>
      <c r="C19" s="280" t="s">
        <v>46</v>
      </c>
      <c r="D19" s="280"/>
      <c r="E19" s="280"/>
      <c r="F19" s="191">
        <f>SUM(F17:F18)</f>
        <v>523798.23579999991</v>
      </c>
    </row>
    <row r="20" spans="1:6">
      <c r="A20" s="82"/>
      <c r="B20" s="194"/>
      <c r="C20" s="280" t="s">
        <v>48</v>
      </c>
      <c r="D20" s="280"/>
      <c r="E20" s="280"/>
      <c r="F20" s="191">
        <f>ROUND(F19*0.01,2)</f>
        <v>5237.9799999999996</v>
      </c>
    </row>
    <row r="21" spans="1:6">
      <c r="A21" s="82"/>
      <c r="B21" s="194"/>
      <c r="C21" s="280" t="s">
        <v>32</v>
      </c>
      <c r="D21" s="280"/>
      <c r="E21" s="280"/>
      <c r="F21" s="191">
        <f>SUM(F19:F20)</f>
        <v>529036.21579999989</v>
      </c>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7"/>
  <sheetViews>
    <sheetView workbookViewId="0">
      <selection activeCell="A3" sqref="A3:F3"/>
    </sheetView>
  </sheetViews>
  <sheetFormatPr defaultRowHeight="18.75"/>
  <cols>
    <col min="2" max="2" width="36" customWidth="1"/>
    <col min="6" max="6" width="11.8984375" bestFit="1" customWidth="1"/>
  </cols>
  <sheetData>
    <row r="1" spans="1:6" ht="25.5">
      <c r="A1" s="268" t="s">
        <v>50</v>
      </c>
      <c r="B1" s="269"/>
      <c r="C1" s="269"/>
      <c r="D1" s="269"/>
      <c r="E1" s="269"/>
      <c r="F1" s="270"/>
    </row>
    <row r="2" spans="1:6" ht="18" customHeight="1">
      <c r="A2" s="271" t="s">
        <v>51</v>
      </c>
      <c r="B2" s="228"/>
      <c r="C2" s="228"/>
      <c r="D2" s="228"/>
      <c r="E2" s="228"/>
      <c r="F2" s="229"/>
    </row>
    <row r="3" spans="1:6" ht="32.450000000000003" customHeight="1">
      <c r="A3" s="287" t="s">
        <v>167</v>
      </c>
      <c r="B3" s="287"/>
      <c r="C3" s="287"/>
      <c r="D3" s="287"/>
      <c r="E3" s="287"/>
      <c r="F3" s="287"/>
    </row>
    <row r="4" spans="1:6" ht="33" customHeight="1">
      <c r="A4" s="161" t="s">
        <v>52</v>
      </c>
      <c r="B4" s="162" t="s">
        <v>39</v>
      </c>
      <c r="C4" s="162" t="s">
        <v>5</v>
      </c>
      <c r="D4" s="162" t="s">
        <v>6</v>
      </c>
      <c r="E4" s="161" t="s">
        <v>53</v>
      </c>
      <c r="F4" s="161" t="s">
        <v>54</v>
      </c>
    </row>
    <row r="5" spans="1:6" ht="35.25" customHeight="1">
      <c r="A5" s="39">
        <v>1</v>
      </c>
      <c r="B5" s="163" t="s">
        <v>42</v>
      </c>
      <c r="C5" s="188">
        <f>[11]ESTIMATE!G4</f>
        <v>5</v>
      </c>
      <c r="D5" s="75" t="s">
        <v>168</v>
      </c>
      <c r="E5" s="75">
        <v>326.85000000000002</v>
      </c>
      <c r="F5" s="75">
        <v>1634.25</v>
      </c>
    </row>
    <row r="6" spans="1:6" ht="93.75" customHeight="1">
      <c r="A6" s="161" t="str">
        <f>[11]ESTIMATE!A5</f>
        <v>2       5.1.1.</v>
      </c>
      <c r="B6" s="165" t="s">
        <v>162</v>
      </c>
      <c r="C6" s="166">
        <f>[11]ESTIMATE!G8</f>
        <v>70.209999999999994</v>
      </c>
      <c r="D6" s="167" t="s">
        <v>11</v>
      </c>
      <c r="E6" s="166">
        <f>[11]ESTIMATE!I8</f>
        <v>151.82</v>
      </c>
      <c r="F6" s="166">
        <f>ROUND(C6*E6,2)</f>
        <v>10659.28</v>
      </c>
    </row>
    <row r="7" spans="1:6" ht="110.25" customHeight="1">
      <c r="A7" s="161" t="str">
        <f>[11]ESTIMATE!A9</f>
        <v>3.           M-004</v>
      </c>
      <c r="B7" s="165" t="s">
        <v>13</v>
      </c>
      <c r="C7" s="166">
        <f>[11]ESTIMATE!G12</f>
        <v>26.2</v>
      </c>
      <c r="D7" s="167" t="s">
        <v>11</v>
      </c>
      <c r="E7" s="166">
        <v>347.85</v>
      </c>
      <c r="F7" s="166">
        <f>ROUND(C7*E7,2)</f>
        <v>9113.67</v>
      </c>
    </row>
    <row r="8" spans="1:6" ht="78.75">
      <c r="A8" s="161" t="str">
        <f>[11]ESTIMATE!A13</f>
        <v>4.       5.6.8 (C.I.W.)</v>
      </c>
      <c r="B8" s="165" t="s">
        <v>15</v>
      </c>
      <c r="C8" s="166">
        <f>[11]ESTIMATE!G16</f>
        <v>44.01</v>
      </c>
      <c r="D8" s="167" t="s">
        <v>11</v>
      </c>
      <c r="E8" s="166">
        <f>[11]ESTIMATE!I16</f>
        <v>1756.4</v>
      </c>
      <c r="F8" s="166">
        <f>ROUND(C8*E8,2)</f>
        <v>77299.16</v>
      </c>
    </row>
    <row r="9" spans="1:6" ht="65.099999999999994" customHeight="1">
      <c r="A9" s="161" t="str">
        <f>[11]ESTIMATE!A17</f>
        <v>5.     5.3.1.1</v>
      </c>
      <c r="B9" s="168" t="s">
        <v>44</v>
      </c>
      <c r="C9" s="166">
        <f>[11]ESTIMATE!G20</f>
        <v>52.39</v>
      </c>
      <c r="D9" s="167" t="s">
        <v>11</v>
      </c>
      <c r="E9" s="166">
        <f>[11]ESTIMATE!I20</f>
        <v>4961.7299999999996</v>
      </c>
      <c r="F9" s="166">
        <f>ROUND(C9*E9,2)</f>
        <v>259945.03</v>
      </c>
    </row>
    <row r="10" spans="1:6" ht="51.75" customHeight="1">
      <c r="A10" s="161" t="str">
        <f>[11]ESTIMATE!A21</f>
        <v>6               5.3.17.1</v>
      </c>
      <c r="B10" s="165" t="s">
        <v>19</v>
      </c>
      <c r="C10" s="166">
        <f>[11]ESTIMATE!G24</f>
        <v>34.39</v>
      </c>
      <c r="D10" s="169" t="s">
        <v>20</v>
      </c>
      <c r="E10" s="161">
        <f>[11]ESTIMATE!I24</f>
        <v>194.5</v>
      </c>
      <c r="F10" s="170">
        <f>ROUND(C10*E10,2)</f>
        <v>6688.86</v>
      </c>
    </row>
    <row r="11" spans="1:6">
      <c r="A11" s="161">
        <f>[11]ESTIMATE!A25</f>
        <v>7</v>
      </c>
      <c r="B11" s="171" t="s">
        <v>21</v>
      </c>
      <c r="C11" s="167"/>
      <c r="D11" s="172"/>
      <c r="E11" s="173"/>
      <c r="F11" s="166"/>
    </row>
    <row r="12" spans="1:6">
      <c r="A12" s="174" t="s">
        <v>22</v>
      </c>
      <c r="B12" s="175" t="s">
        <v>145</v>
      </c>
      <c r="C12" s="167">
        <f>PRODUCT('[11]MATERIAL '!F7)</f>
        <v>22.53</v>
      </c>
      <c r="D12" s="172" t="s">
        <v>11</v>
      </c>
      <c r="E12" s="39">
        <f>[11]ESTIMATE!I26</f>
        <v>848.82</v>
      </c>
      <c r="F12" s="166">
        <f t="shared" ref="F12:F16" si="0">ROUND(C12*E12,2)</f>
        <v>19123.91</v>
      </c>
    </row>
    <row r="13" spans="1:6">
      <c r="A13" s="174" t="s">
        <v>24</v>
      </c>
      <c r="B13" s="175" t="s">
        <v>163</v>
      </c>
      <c r="C13" s="167">
        <f>PRODUCT('[11]MATERIAL '!G7)</f>
        <v>26.2</v>
      </c>
      <c r="D13" s="172" t="s">
        <v>11</v>
      </c>
      <c r="E13" s="176">
        <v>447.06</v>
      </c>
      <c r="F13" s="166">
        <f t="shared" si="0"/>
        <v>11712.97</v>
      </c>
    </row>
    <row r="14" spans="1:6">
      <c r="A14" s="174" t="s">
        <v>26</v>
      </c>
      <c r="B14" s="177" t="s">
        <v>164</v>
      </c>
      <c r="C14" s="167">
        <f>PRODUCT('[11]MATERIAL '!H7)</f>
        <v>45.06</v>
      </c>
      <c r="D14" s="172" t="s">
        <v>11</v>
      </c>
      <c r="E14" s="176">
        <v>447.06</v>
      </c>
      <c r="F14" s="166">
        <f t="shared" si="0"/>
        <v>20144.52</v>
      </c>
    </row>
    <row r="15" spans="1:6">
      <c r="A15" s="174" t="s">
        <v>28</v>
      </c>
      <c r="B15" s="177" t="s">
        <v>165</v>
      </c>
      <c r="C15" s="167">
        <f>PRODUCT('[11]MATERIAL '!I7)</f>
        <v>44.01</v>
      </c>
      <c r="D15" s="172" t="s">
        <v>11</v>
      </c>
      <c r="E15" s="39">
        <f>[11]ESTIMATE!I29</f>
        <v>679.66</v>
      </c>
      <c r="F15" s="166">
        <f t="shared" si="0"/>
        <v>29911.84</v>
      </c>
    </row>
    <row r="16" spans="1:6">
      <c r="A16" s="174" t="s">
        <v>30</v>
      </c>
      <c r="B16" s="165" t="s">
        <v>157</v>
      </c>
      <c r="C16" s="167">
        <f>PRODUCT('[11]MATERIAL '!J7)</f>
        <v>70.209999999999994</v>
      </c>
      <c r="D16" s="172" t="s">
        <v>11</v>
      </c>
      <c r="E16" s="176">
        <f>[11]ESTIMATE!I30</f>
        <v>117.54</v>
      </c>
      <c r="F16" s="166">
        <f t="shared" si="0"/>
        <v>8252.48</v>
      </c>
    </row>
    <row r="17" spans="1:6">
      <c r="A17" s="178"/>
      <c r="B17" s="178"/>
      <c r="C17" s="266" t="s">
        <v>46</v>
      </c>
      <c r="D17" s="266"/>
      <c r="E17" s="267"/>
      <c r="F17" s="166">
        <f>SUM(F5:F16)</f>
        <v>454485.97</v>
      </c>
    </row>
    <row r="18" spans="1:6">
      <c r="A18" s="178"/>
      <c r="B18" s="178"/>
      <c r="C18" s="275" t="s">
        <v>47</v>
      </c>
      <c r="D18" s="266"/>
      <c r="E18" s="267"/>
      <c r="F18" s="166">
        <f>F17*18%</f>
        <v>81807.474599999987</v>
      </c>
    </row>
    <row r="19" spans="1:6">
      <c r="A19" s="178"/>
      <c r="B19" s="178"/>
      <c r="C19" s="275" t="s">
        <v>46</v>
      </c>
      <c r="D19" s="266"/>
      <c r="E19" s="267"/>
      <c r="F19" s="166">
        <f>SUM(F17:F18)</f>
        <v>536293.44459999993</v>
      </c>
    </row>
    <row r="20" spans="1:6">
      <c r="A20" s="178"/>
      <c r="B20" s="178"/>
      <c r="C20" s="266" t="s">
        <v>169</v>
      </c>
      <c r="D20" s="266"/>
      <c r="E20" s="267"/>
      <c r="F20" s="166">
        <f>ROUND(F19*0.01,2)</f>
        <v>5362.93</v>
      </c>
    </row>
    <row r="21" spans="1:6">
      <c r="A21" s="178"/>
      <c r="B21" s="178"/>
      <c r="C21" s="266" t="s">
        <v>46</v>
      </c>
      <c r="D21" s="266"/>
      <c r="E21" s="267"/>
      <c r="F21" s="179">
        <f>SUM(F19:F20)</f>
        <v>541656.37459999998</v>
      </c>
    </row>
    <row r="22" spans="1:6">
      <c r="A22" s="181"/>
      <c r="B22" s="181"/>
      <c r="C22" s="182"/>
      <c r="D22" s="182"/>
      <c r="E22" s="182"/>
      <c r="F22" s="183"/>
    </row>
    <row r="23" spans="1:6">
      <c r="A23" s="181"/>
      <c r="B23" s="181"/>
      <c r="C23" s="182"/>
      <c r="D23" s="182"/>
      <c r="E23" s="182"/>
      <c r="F23" s="183"/>
    </row>
    <row r="24" spans="1:6">
      <c r="A24" s="184"/>
    </row>
    <row r="25" spans="1:6">
      <c r="A25" s="184"/>
    </row>
    <row r="26" spans="1:6">
      <c r="A26" s="184"/>
      <c r="B26" s="185" t="s">
        <v>170</v>
      </c>
      <c r="C26" s="186" t="s">
        <v>171</v>
      </c>
      <c r="F26" s="187" t="s">
        <v>62</v>
      </c>
    </row>
    <row r="27" spans="1:6">
      <c r="A27" s="184"/>
      <c r="B27" s="185" t="s">
        <v>63</v>
      </c>
      <c r="C27" s="186" t="s">
        <v>172</v>
      </c>
      <c r="F27" s="187" t="s">
        <v>63</v>
      </c>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5"/>
  <sheetViews>
    <sheetView topLeftCell="A10" workbookViewId="0">
      <selection activeCell="E5" sqref="E5:E16"/>
    </sheetView>
  </sheetViews>
  <sheetFormatPr defaultRowHeight="18.75"/>
  <cols>
    <col min="1" max="1" width="6.19921875" bestFit="1" customWidth="1"/>
    <col min="2" max="2" width="36" customWidth="1"/>
    <col min="3" max="3" width="6.19921875" bestFit="1" customWidth="1"/>
    <col min="5" max="5" width="6.19921875" bestFit="1" customWidth="1"/>
    <col min="6" max="6" width="12" style="95" bestFit="1" customWidth="1"/>
  </cols>
  <sheetData>
    <row r="1" spans="1:6" ht="20.25">
      <c r="A1" s="290" t="s">
        <v>50</v>
      </c>
      <c r="B1" s="291"/>
      <c r="C1" s="291"/>
      <c r="D1" s="291"/>
      <c r="E1" s="291"/>
      <c r="F1" s="292"/>
    </row>
    <row r="2" spans="1:6" ht="18" customHeight="1">
      <c r="A2" s="293" t="s">
        <v>51</v>
      </c>
      <c r="B2" s="294"/>
      <c r="C2" s="294"/>
      <c r="D2" s="294"/>
      <c r="E2" s="294"/>
      <c r="F2" s="295"/>
    </row>
    <row r="3" spans="1:6" ht="32.450000000000003" customHeight="1">
      <c r="A3" s="296" t="str">
        <f>[12]ESTIMATE!A2</f>
        <v>Name of Work :-CONSTRUCTION OF PCC R0AD AT NEW PUNDAG JAGRNATH VIHAR HOUSE OF AMER YADAV TO HOUSE OF RAJU JEE  UNDER WARD NO-36</v>
      </c>
      <c r="B3" s="296"/>
      <c r="C3" s="296"/>
      <c r="D3" s="296"/>
      <c r="E3" s="296"/>
      <c r="F3" s="296"/>
    </row>
    <row r="4" spans="1:6" ht="33" customHeight="1">
      <c r="A4" s="196" t="s">
        <v>52</v>
      </c>
      <c r="B4" s="197" t="s">
        <v>39</v>
      </c>
      <c r="C4" s="197" t="s">
        <v>5</v>
      </c>
      <c r="D4" s="197" t="s">
        <v>6</v>
      </c>
      <c r="E4" s="196" t="s">
        <v>53</v>
      </c>
      <c r="F4" s="164" t="s">
        <v>54</v>
      </c>
    </row>
    <row r="5" spans="1:6" ht="35.25" customHeight="1">
      <c r="A5" s="39">
        <v>1</v>
      </c>
      <c r="B5" s="163" t="s">
        <v>42</v>
      </c>
      <c r="C5" s="176">
        <f>[12]ESTIMATE!G4</f>
        <v>1</v>
      </c>
      <c r="D5" s="39" t="s">
        <v>185</v>
      </c>
      <c r="E5" s="96">
        <f>[12]ESTIMATE!I4</f>
        <v>326.85000000000002</v>
      </c>
      <c r="F5" s="70">
        <v>1634.25</v>
      </c>
    </row>
    <row r="6" spans="1:6" ht="93.75" customHeight="1">
      <c r="A6" s="196" t="str">
        <f>[12]ESTIMATE!A5</f>
        <v>2       5.1.1.</v>
      </c>
      <c r="B6" s="198" t="s">
        <v>162</v>
      </c>
      <c r="C6" s="199">
        <f>[12]ESTIMATE!G8</f>
        <v>18.97</v>
      </c>
      <c r="D6" s="200" t="s">
        <v>11</v>
      </c>
      <c r="E6" s="215">
        <f>[12]ESTIMATE!I8</f>
        <v>151.82</v>
      </c>
      <c r="F6" s="191">
        <f>ROUND(C6*E6,2)</f>
        <v>2880.03</v>
      </c>
    </row>
    <row r="7" spans="1:6" ht="110.25" customHeight="1">
      <c r="A7" s="196" t="str">
        <f>[12]ESTIMATE!A9</f>
        <v>3.           M-004</v>
      </c>
      <c r="B7" s="198" t="s">
        <v>13</v>
      </c>
      <c r="C7" s="199">
        <f>[12]ESTIMATE!G12</f>
        <v>7.08</v>
      </c>
      <c r="D7" s="200" t="s">
        <v>11</v>
      </c>
      <c r="E7" s="215">
        <v>347.85</v>
      </c>
      <c r="F7" s="191">
        <f>ROUND(C7*E7,2)</f>
        <v>2462.7800000000002</v>
      </c>
    </row>
    <row r="8" spans="1:6" ht="75">
      <c r="A8" s="196" t="str">
        <f>[12]ESTIMATE!A13</f>
        <v>4.       5.6.8 (C.I.W.)</v>
      </c>
      <c r="B8" s="198" t="s">
        <v>15</v>
      </c>
      <c r="C8" s="199">
        <f>[12]ESTIMATE!G16</f>
        <v>11.89</v>
      </c>
      <c r="D8" s="200" t="s">
        <v>11</v>
      </c>
      <c r="E8" s="215">
        <f>[12]ESTIMATE!I16</f>
        <v>1756.4</v>
      </c>
      <c r="F8" s="191">
        <f>ROUND(C8*E8,2)</f>
        <v>20883.599999999999</v>
      </c>
    </row>
    <row r="9" spans="1:6" ht="65.099999999999994" customHeight="1">
      <c r="A9" s="196" t="str">
        <f>[12]ESTIMATE!A17</f>
        <v>5.     5.3.1.1</v>
      </c>
      <c r="B9" s="201" t="s">
        <v>44</v>
      </c>
      <c r="C9" s="199">
        <f>[12]ESTIMATE!G20</f>
        <v>14.16</v>
      </c>
      <c r="D9" s="200" t="s">
        <v>11</v>
      </c>
      <c r="E9" s="215">
        <f>[12]ESTIMATE!I20</f>
        <v>4961.7299999999996</v>
      </c>
      <c r="F9" s="191">
        <f>ROUND(C9*E9,2)</f>
        <v>70258.100000000006</v>
      </c>
    </row>
    <row r="10" spans="1:6" ht="51.75" customHeight="1">
      <c r="A10" s="196" t="str">
        <f>[12]ESTIMATE!A21</f>
        <v>6               5.3.17.1</v>
      </c>
      <c r="B10" s="198" t="s">
        <v>19</v>
      </c>
      <c r="C10" s="199">
        <f>[12]ESTIMATE!G24</f>
        <v>9.2899999999999991</v>
      </c>
      <c r="D10" s="202" t="s">
        <v>20</v>
      </c>
      <c r="E10" s="96">
        <f>[12]ESTIMATE!I24</f>
        <v>194.5</v>
      </c>
      <c r="F10" s="164">
        <f>ROUND(C10*E10,2)</f>
        <v>1806.91</v>
      </c>
    </row>
    <row r="11" spans="1:6">
      <c r="A11" s="196">
        <f>[12]ESTIMATE!A25</f>
        <v>7</v>
      </c>
      <c r="B11" s="203" t="s">
        <v>21</v>
      </c>
      <c r="C11" s="200"/>
      <c r="D11" s="204"/>
      <c r="E11" s="216"/>
      <c r="F11" s="191"/>
    </row>
    <row r="12" spans="1:6">
      <c r="A12" s="206" t="s">
        <v>22</v>
      </c>
      <c r="B12" s="207" t="s">
        <v>145</v>
      </c>
      <c r="C12" s="200">
        <f>PRODUCT('[12]MATERIAL '!F7)</f>
        <v>6.09</v>
      </c>
      <c r="D12" s="204" t="s">
        <v>11</v>
      </c>
      <c r="E12" s="96">
        <f>[12]ESTIMATE!I26</f>
        <v>848.82</v>
      </c>
      <c r="F12" s="191">
        <f t="shared" ref="F12:F16" si="0">ROUND(C12*E12,2)</f>
        <v>5169.3100000000004</v>
      </c>
    </row>
    <row r="13" spans="1:6">
      <c r="A13" s="206" t="s">
        <v>24</v>
      </c>
      <c r="B13" s="207" t="s">
        <v>163</v>
      </c>
      <c r="C13" s="200">
        <f>PRODUCT('[12]MATERIAL '!G7)</f>
        <v>7.08</v>
      </c>
      <c r="D13" s="204" t="s">
        <v>11</v>
      </c>
      <c r="E13" s="217">
        <v>447.06</v>
      </c>
      <c r="F13" s="191">
        <f t="shared" si="0"/>
        <v>3165.18</v>
      </c>
    </row>
    <row r="14" spans="1:6">
      <c r="A14" s="206" t="s">
        <v>26</v>
      </c>
      <c r="B14" s="208" t="s">
        <v>164</v>
      </c>
      <c r="C14" s="200">
        <f>PRODUCT('[12]MATERIAL '!H7)</f>
        <v>12.18</v>
      </c>
      <c r="D14" s="204" t="s">
        <v>11</v>
      </c>
      <c r="E14" s="217">
        <v>447.06</v>
      </c>
      <c r="F14" s="191">
        <f t="shared" si="0"/>
        <v>5445.19</v>
      </c>
    </row>
    <row r="15" spans="1:6">
      <c r="A15" s="206" t="s">
        <v>28</v>
      </c>
      <c r="B15" s="208" t="s">
        <v>165</v>
      </c>
      <c r="C15" s="200">
        <f>PRODUCT('[12]MATERIAL '!I7)</f>
        <v>11.89</v>
      </c>
      <c r="D15" s="204" t="s">
        <v>11</v>
      </c>
      <c r="E15" s="96">
        <f>[12]ESTIMATE!I29</f>
        <v>679.66</v>
      </c>
      <c r="F15" s="191">
        <f t="shared" si="0"/>
        <v>8081.16</v>
      </c>
    </row>
    <row r="16" spans="1:6">
      <c r="A16" s="206" t="s">
        <v>30</v>
      </c>
      <c r="B16" s="198" t="s">
        <v>157</v>
      </c>
      <c r="C16" s="200">
        <f>PRODUCT('[12]MATERIAL '!J7)</f>
        <v>18.97</v>
      </c>
      <c r="D16" s="204" t="s">
        <v>11</v>
      </c>
      <c r="E16" s="217">
        <f>[12]ESTIMATE!I30</f>
        <v>117.54</v>
      </c>
      <c r="F16" s="191">
        <f t="shared" si="0"/>
        <v>2229.73</v>
      </c>
    </row>
    <row r="17" spans="1:6">
      <c r="A17" s="209"/>
      <c r="B17" s="209"/>
      <c r="C17" s="288" t="s">
        <v>46</v>
      </c>
      <c r="D17" s="288"/>
      <c r="E17" s="289"/>
      <c r="F17" s="191">
        <f>SUM(F5:F16)</f>
        <v>124016.24</v>
      </c>
    </row>
    <row r="18" spans="1:6">
      <c r="A18" s="209"/>
      <c r="B18" s="209"/>
      <c r="C18" s="297" t="s">
        <v>47</v>
      </c>
      <c r="D18" s="288"/>
      <c r="E18" s="289"/>
      <c r="F18" s="191">
        <f>F17*18%</f>
        <v>22322.923200000001</v>
      </c>
    </row>
    <row r="19" spans="1:6">
      <c r="A19" s="209"/>
      <c r="B19" s="209"/>
      <c r="C19" s="297" t="s">
        <v>46</v>
      </c>
      <c r="D19" s="288"/>
      <c r="E19" s="289"/>
      <c r="F19" s="191">
        <f>SUM(F17:F18)</f>
        <v>146339.16320000001</v>
      </c>
    </row>
    <row r="20" spans="1:6">
      <c r="A20" s="209"/>
      <c r="B20" s="209"/>
      <c r="C20" s="288" t="s">
        <v>58</v>
      </c>
      <c r="D20" s="288"/>
      <c r="E20" s="289"/>
      <c r="F20" s="191">
        <f>ROUND(F19*0.01,2)</f>
        <v>1463.39</v>
      </c>
    </row>
    <row r="21" spans="1:6">
      <c r="A21" s="209"/>
      <c r="B21" s="209"/>
      <c r="C21" s="288" t="s">
        <v>46</v>
      </c>
      <c r="D21" s="288"/>
      <c r="E21" s="289"/>
      <c r="F21" s="191">
        <f>SUM(F19:F20)</f>
        <v>147802.55320000002</v>
      </c>
    </row>
    <row r="22" spans="1:6">
      <c r="A22" s="210"/>
      <c r="B22" s="210"/>
      <c r="C22" s="211"/>
      <c r="D22" s="211"/>
      <c r="E22" s="211"/>
      <c r="F22" s="212"/>
    </row>
    <row r="23" spans="1:6">
      <c r="A23" s="210"/>
      <c r="B23" s="210"/>
      <c r="C23" s="211"/>
      <c r="D23" s="211"/>
      <c r="E23" s="211"/>
      <c r="F23" s="212"/>
    </row>
    <row r="24" spans="1:6">
      <c r="A24" s="184"/>
    </row>
    <row r="25" spans="1:6">
      <c r="A25" s="184"/>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8.796875" style="110"/>
    <col min="2" max="2" width="30" style="111" customWidth="1"/>
    <col min="3" max="3" width="8.796875" style="103"/>
    <col min="4" max="4" width="8.796875" style="112"/>
    <col min="5" max="5" width="8" style="103" customWidth="1"/>
    <col min="6" max="6" width="11.5" style="113" customWidth="1"/>
    <col min="7" max="16384" width="8.796875" style="103"/>
  </cols>
  <sheetData>
    <row r="1" spans="1:6" ht="18.75">
      <c r="A1" s="223" t="s">
        <v>131</v>
      </c>
      <c r="B1" s="223"/>
      <c r="C1" s="223"/>
      <c r="D1" s="223"/>
      <c r="E1" s="223"/>
      <c r="F1" s="223"/>
    </row>
    <row r="2" spans="1:6" ht="18.75">
      <c r="A2" s="223" t="s">
        <v>81</v>
      </c>
      <c r="B2" s="223"/>
      <c r="C2" s="223"/>
      <c r="D2" s="223"/>
      <c r="E2" s="223"/>
      <c r="F2" s="223"/>
    </row>
    <row r="3" spans="1:6" ht="75.75" customHeight="1">
      <c r="A3" s="224" t="s">
        <v>132</v>
      </c>
      <c r="B3" s="224"/>
      <c r="C3" s="224"/>
      <c r="D3" s="224"/>
      <c r="E3" s="224"/>
      <c r="F3" s="224"/>
    </row>
    <row r="4" spans="1:6">
      <c r="A4" s="104" t="s">
        <v>83</v>
      </c>
      <c r="B4" s="104" t="s">
        <v>84</v>
      </c>
      <c r="C4" s="104" t="s">
        <v>85</v>
      </c>
      <c r="D4" s="104" t="s">
        <v>6</v>
      </c>
      <c r="E4" s="104" t="s">
        <v>86</v>
      </c>
      <c r="F4" s="104" t="s">
        <v>87</v>
      </c>
    </row>
    <row r="5" spans="1:6" ht="75">
      <c r="A5" s="106" t="s">
        <v>133</v>
      </c>
      <c r="B5" s="106" t="s">
        <v>134</v>
      </c>
      <c r="C5" s="106">
        <v>1394.05</v>
      </c>
      <c r="D5" s="106" t="s">
        <v>100</v>
      </c>
      <c r="E5" s="106">
        <v>12.6</v>
      </c>
      <c r="F5" s="106">
        <f>C5*E5</f>
        <v>17565.03</v>
      </c>
    </row>
    <row r="6" spans="1:6" ht="180">
      <c r="A6" s="106" t="s">
        <v>135</v>
      </c>
      <c r="B6" s="106" t="s">
        <v>136</v>
      </c>
      <c r="C6" s="106">
        <v>53.1</v>
      </c>
      <c r="D6" s="106" t="s">
        <v>91</v>
      </c>
      <c r="E6" s="106">
        <v>10656</v>
      </c>
      <c r="F6" s="106">
        <f t="shared" ref="F6:F7" si="0">C6*E6</f>
        <v>565833.6</v>
      </c>
    </row>
    <row r="7" spans="1:6" ht="45">
      <c r="A7" s="106" t="s">
        <v>137</v>
      </c>
      <c r="B7" s="106" t="s">
        <v>138</v>
      </c>
      <c r="C7" s="106">
        <v>139.41</v>
      </c>
      <c r="D7" s="106" t="s">
        <v>100</v>
      </c>
      <c r="E7" s="106">
        <v>584.29999999999995</v>
      </c>
      <c r="F7" s="106">
        <f t="shared" si="0"/>
        <v>81457.262999999992</v>
      </c>
    </row>
    <row r="8" spans="1:6">
      <c r="A8" s="105">
        <v>4</v>
      </c>
      <c r="B8" s="106" t="s">
        <v>101</v>
      </c>
      <c r="C8" s="106"/>
      <c r="D8" s="106"/>
      <c r="E8" s="106"/>
      <c r="F8" s="106"/>
    </row>
    <row r="9" spans="1:6" ht="16.5">
      <c r="A9" s="106" t="s">
        <v>102</v>
      </c>
      <c r="B9" s="106" t="s">
        <v>139</v>
      </c>
      <c r="C9" s="106">
        <v>77.53</v>
      </c>
      <c r="D9" s="106" t="s">
        <v>127</v>
      </c>
      <c r="E9" s="106">
        <v>342.9</v>
      </c>
      <c r="F9" s="106">
        <f t="shared" ref="F9" si="1">C9*E9</f>
        <v>26585.037</v>
      </c>
    </row>
    <row r="10" spans="1:6">
      <c r="A10" s="106"/>
      <c r="B10" s="106"/>
      <c r="C10" s="106"/>
      <c r="D10" s="106"/>
      <c r="E10" s="106" t="s">
        <v>46</v>
      </c>
      <c r="F10" s="106">
        <f>SUM(F5:F9)</f>
        <v>691440.93</v>
      </c>
    </row>
    <row r="11" spans="1:6">
      <c r="A11" s="107"/>
      <c r="B11" s="108"/>
      <c r="C11" s="109"/>
      <c r="D11" s="105"/>
      <c r="E11" s="106" t="s">
        <v>112</v>
      </c>
      <c r="F11" s="106">
        <f>F10*18/100</f>
        <v>124459.3674</v>
      </c>
    </row>
    <row r="12" spans="1:6">
      <c r="A12" s="107"/>
      <c r="B12" s="108"/>
      <c r="C12" s="109"/>
      <c r="D12" s="105"/>
      <c r="E12" s="106"/>
      <c r="F12" s="106">
        <f>F11+F10</f>
        <v>815900.29740000004</v>
      </c>
    </row>
    <row r="13" spans="1:6">
      <c r="A13" s="107"/>
      <c r="B13" s="108"/>
      <c r="C13" s="109"/>
      <c r="D13" s="105"/>
      <c r="E13" s="106" t="s">
        <v>113</v>
      </c>
      <c r="F13" s="106">
        <f>F12*1/100</f>
        <v>8159.002974</v>
      </c>
    </row>
    <row r="14" spans="1:6">
      <c r="A14" s="107"/>
      <c r="B14" s="108"/>
      <c r="C14" s="109"/>
      <c r="D14" s="105"/>
      <c r="E14" s="106" t="s">
        <v>32</v>
      </c>
      <c r="F14" s="106">
        <f>F13+F12</f>
        <v>824059.30037399998</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8.796875" style="110"/>
    <col min="2" max="2" width="30" style="111" customWidth="1"/>
    <col min="3" max="3" width="8.796875" style="103"/>
    <col min="4" max="4" width="8.796875" style="112"/>
    <col min="5" max="5" width="8" style="103" customWidth="1"/>
    <col min="6" max="6" width="11.5" style="113" customWidth="1"/>
    <col min="7" max="16384" width="8.796875" style="103"/>
  </cols>
  <sheetData>
    <row r="1" spans="1:6" ht="18.75">
      <c r="A1" s="223" t="s">
        <v>131</v>
      </c>
      <c r="B1" s="223"/>
      <c r="C1" s="223"/>
      <c r="D1" s="223"/>
      <c r="E1" s="223"/>
      <c r="F1" s="223"/>
    </row>
    <row r="2" spans="1:6" ht="18.75">
      <c r="A2" s="223" t="s">
        <v>81</v>
      </c>
      <c r="B2" s="223"/>
      <c r="C2" s="223"/>
      <c r="D2" s="223"/>
      <c r="E2" s="223"/>
      <c r="F2" s="223"/>
    </row>
    <row r="3" spans="1:6" ht="75.75" customHeight="1">
      <c r="A3" s="224" t="s">
        <v>140</v>
      </c>
      <c r="B3" s="224"/>
      <c r="C3" s="224"/>
      <c r="D3" s="224"/>
      <c r="E3" s="224"/>
      <c r="F3" s="224"/>
    </row>
    <row r="4" spans="1:6">
      <c r="A4" s="104" t="s">
        <v>83</v>
      </c>
      <c r="B4" s="104" t="s">
        <v>84</v>
      </c>
      <c r="C4" s="104" t="s">
        <v>85</v>
      </c>
      <c r="D4" s="104" t="s">
        <v>6</v>
      </c>
      <c r="E4" s="104" t="s">
        <v>86</v>
      </c>
      <c r="F4" s="104" t="s">
        <v>87</v>
      </c>
    </row>
    <row r="5" spans="1:6" ht="75">
      <c r="A5" s="106" t="s">
        <v>141</v>
      </c>
      <c r="B5" s="106" t="s">
        <v>142</v>
      </c>
      <c r="C5" s="106">
        <v>123.36</v>
      </c>
      <c r="D5" s="106" t="s">
        <v>91</v>
      </c>
      <c r="E5" s="106">
        <v>4961.7299999999996</v>
      </c>
      <c r="F5" s="106">
        <f>C5*E5</f>
        <v>612079.01279999991</v>
      </c>
    </row>
    <row r="6" spans="1:6" ht="60">
      <c r="A6" s="106" t="s">
        <v>143</v>
      </c>
      <c r="B6" s="106" t="s">
        <v>144</v>
      </c>
      <c r="C6" s="106">
        <v>67.47</v>
      </c>
      <c r="D6" s="106" t="s">
        <v>100</v>
      </c>
      <c r="E6" s="106">
        <v>194.5</v>
      </c>
      <c r="F6" s="106">
        <f t="shared" ref="F6:F9" si="0">C6*E6</f>
        <v>13122.914999999999</v>
      </c>
    </row>
    <row r="7" spans="1:6">
      <c r="A7" s="105">
        <v>3</v>
      </c>
      <c r="B7" s="106" t="s">
        <v>101</v>
      </c>
      <c r="C7" s="106"/>
      <c r="D7" s="106"/>
      <c r="E7" s="106"/>
      <c r="F7" s="106"/>
    </row>
    <row r="8" spans="1:6" ht="16.5">
      <c r="A8" s="106" t="s">
        <v>22</v>
      </c>
      <c r="B8" s="106" t="s">
        <v>145</v>
      </c>
      <c r="C8" s="106">
        <v>52.92</v>
      </c>
      <c r="D8" s="106" t="s">
        <v>127</v>
      </c>
      <c r="E8" s="106">
        <v>744.66</v>
      </c>
      <c r="F8" s="106">
        <f t="shared" si="0"/>
        <v>39407.407200000001</v>
      </c>
    </row>
    <row r="9" spans="1:6" ht="16.5">
      <c r="A9" s="106" t="s">
        <v>26</v>
      </c>
      <c r="B9" s="106" t="s">
        <v>139</v>
      </c>
      <c r="C9" s="106">
        <v>105.84</v>
      </c>
      <c r="D9" s="106" t="s">
        <v>127</v>
      </c>
      <c r="E9" s="106">
        <v>342.9</v>
      </c>
      <c r="F9" s="106">
        <f t="shared" si="0"/>
        <v>36292.536</v>
      </c>
    </row>
    <row r="10" spans="1:6">
      <c r="A10" s="106"/>
      <c r="B10" s="106"/>
      <c r="C10" s="106"/>
      <c r="D10" s="106"/>
      <c r="E10" s="106" t="s">
        <v>46</v>
      </c>
      <c r="F10" s="106">
        <f>SUM(F5:F9)</f>
        <v>700901.87099999993</v>
      </c>
    </row>
    <row r="11" spans="1:6">
      <c r="A11" s="107"/>
      <c r="B11" s="108"/>
      <c r="C11" s="109"/>
      <c r="D11" s="105"/>
      <c r="E11" s="106" t="s">
        <v>112</v>
      </c>
      <c r="F11" s="106">
        <f>F10*18/100</f>
        <v>126162.33678</v>
      </c>
    </row>
    <row r="12" spans="1:6">
      <c r="A12" s="107"/>
      <c r="B12" s="108"/>
      <c r="C12" s="109"/>
      <c r="D12" s="105"/>
      <c r="E12" s="106"/>
      <c r="F12" s="106">
        <f>F11+F10</f>
        <v>827064.20777999994</v>
      </c>
    </row>
    <row r="13" spans="1:6">
      <c r="A13" s="107"/>
      <c r="B13" s="108"/>
      <c r="C13" s="109"/>
      <c r="D13" s="105"/>
      <c r="E13" s="106" t="s">
        <v>113</v>
      </c>
      <c r="F13" s="106">
        <f>F12*1/100</f>
        <v>8270.6420777999992</v>
      </c>
    </row>
    <row r="14" spans="1:6">
      <c r="A14" s="107"/>
      <c r="B14" s="108"/>
      <c r="C14" s="109"/>
      <c r="D14" s="105"/>
      <c r="E14" s="106" t="s">
        <v>32</v>
      </c>
      <c r="F14" s="106">
        <f>F13+F12</f>
        <v>835334.84985779994</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49"/>
  <sheetViews>
    <sheetView workbookViewId="0">
      <selection activeCell="A3" sqref="A3:F3"/>
    </sheetView>
  </sheetViews>
  <sheetFormatPr defaultRowHeight="18.75"/>
  <cols>
    <col min="1" max="1" width="6.296875" customWidth="1"/>
    <col min="2" max="2" width="30.8984375" customWidth="1"/>
    <col min="3" max="3" width="8.19921875" customWidth="1"/>
    <col min="4" max="4" width="3.69921875" customWidth="1"/>
    <col min="5" max="5" width="8.19921875" customWidth="1"/>
    <col min="6" max="6" width="14.19921875" customWidth="1"/>
  </cols>
  <sheetData>
    <row r="1" spans="1:6">
      <c r="A1" s="300" t="s">
        <v>36</v>
      </c>
      <c r="B1" s="301"/>
      <c r="C1" s="301"/>
      <c r="D1" s="301"/>
      <c r="E1" s="301"/>
      <c r="F1" s="301"/>
    </row>
    <row r="2" spans="1:6">
      <c r="A2" s="302" t="s">
        <v>1</v>
      </c>
      <c r="B2" s="302"/>
      <c r="C2" s="302"/>
      <c r="D2" s="302"/>
      <c r="E2" s="302"/>
      <c r="F2" s="302"/>
    </row>
    <row r="3" spans="1:6" ht="45" customHeight="1">
      <c r="A3" s="303" t="s">
        <v>146</v>
      </c>
      <c r="B3" s="303"/>
      <c r="C3" s="303"/>
      <c r="D3" s="303"/>
      <c r="E3" s="303"/>
      <c r="F3" s="303"/>
    </row>
    <row r="4" spans="1:6" ht="30.75">
      <c r="A4" s="108" t="s">
        <v>38</v>
      </c>
      <c r="B4" s="109" t="s">
        <v>39</v>
      </c>
      <c r="C4" s="146" t="s">
        <v>5</v>
      </c>
      <c r="D4" s="109" t="s">
        <v>6</v>
      </c>
      <c r="E4" s="147" t="s">
        <v>147</v>
      </c>
      <c r="F4" s="148" t="s">
        <v>148</v>
      </c>
    </row>
    <row r="5" spans="1:6" ht="147.75" customHeight="1">
      <c r="A5" s="108" t="s">
        <v>149</v>
      </c>
      <c r="B5" s="149" t="s">
        <v>150</v>
      </c>
      <c r="C5" s="150">
        <f>'[13]DETAILED ESTIMATE'!G7</f>
        <v>50.093457943925237</v>
      </c>
      <c r="D5" s="150" t="s">
        <v>11</v>
      </c>
      <c r="E5" s="150">
        <v>167.33</v>
      </c>
      <c r="F5" s="150">
        <f>PRODUCT(C5,E5)</f>
        <v>8382.1383177570115</v>
      </c>
    </row>
    <row r="6" spans="1:6" ht="103.5" customHeight="1">
      <c r="A6" s="132" t="s">
        <v>151</v>
      </c>
      <c r="B6" s="149" t="s">
        <v>152</v>
      </c>
      <c r="C6" s="150">
        <f>'[13]DETAILED ESTIMATE'!G11</f>
        <v>50.093457943925237</v>
      </c>
      <c r="D6" s="150" t="s">
        <v>11</v>
      </c>
      <c r="E6" s="150">
        <v>1437.6</v>
      </c>
      <c r="F6" s="150">
        <f>PRODUCT(C6,E6)</f>
        <v>72014.355140186919</v>
      </c>
    </row>
    <row r="7" spans="1:6" ht="60">
      <c r="A7" s="151" t="s">
        <v>153</v>
      </c>
      <c r="B7" s="152" t="s">
        <v>144</v>
      </c>
      <c r="C7" s="150">
        <f>'[13]DETAILED ESTIMATE'!G16</f>
        <v>20.446096654275092</v>
      </c>
      <c r="D7" s="150" t="s">
        <v>100</v>
      </c>
      <c r="E7" s="109">
        <v>194.5</v>
      </c>
      <c r="F7" s="150">
        <f t="shared" ref="F7:F8" si="0">PRODUCT(C7,E7)</f>
        <v>3976.7657992565055</v>
      </c>
    </row>
    <row r="8" spans="1:6" ht="82.5" customHeight="1">
      <c r="A8" s="147" t="s">
        <v>154</v>
      </c>
      <c r="B8" s="147" t="s">
        <v>155</v>
      </c>
      <c r="C8" s="153">
        <f>'[13]DETAILED ESTIMATE'!G21</f>
        <v>31.15264797507788</v>
      </c>
      <c r="D8" s="150" t="s">
        <v>116</v>
      </c>
      <c r="E8" s="150">
        <v>4961.7299999999996</v>
      </c>
      <c r="F8" s="150">
        <f t="shared" si="0"/>
        <v>154571.02803738316</v>
      </c>
    </row>
    <row r="9" spans="1:6">
      <c r="A9" s="108">
        <v>6</v>
      </c>
      <c r="B9" s="154" t="s">
        <v>21</v>
      </c>
      <c r="C9" s="155"/>
      <c r="D9" s="140"/>
      <c r="E9" s="156"/>
      <c r="F9" s="155"/>
    </row>
    <row r="10" spans="1:6">
      <c r="A10" s="151"/>
      <c r="B10" s="109" t="s">
        <v>145</v>
      </c>
      <c r="C10" s="140">
        <f>PRODUCT('[13]MATERIAL STATEMENT'!F7)</f>
        <v>13.395638629283487</v>
      </c>
      <c r="D10" s="140" t="s">
        <v>11</v>
      </c>
      <c r="E10" s="150">
        <v>744.66</v>
      </c>
      <c r="F10" s="140">
        <f t="shared" ref="F10:F12" si="1">PRODUCT(C10:E10)</f>
        <v>9975.196261682242</v>
      </c>
    </row>
    <row r="11" spans="1:6">
      <c r="A11" s="151"/>
      <c r="B11" s="150" t="s">
        <v>156</v>
      </c>
      <c r="C11" s="140">
        <f>PRODUCT('[13]MATERIAL STATEMENT'!G7)</f>
        <v>94.21707165109035</v>
      </c>
      <c r="D11" s="140" t="s">
        <v>11</v>
      </c>
      <c r="E11" s="150">
        <v>342.9</v>
      </c>
      <c r="F11" s="140">
        <f t="shared" si="1"/>
        <v>32307.03386915888</v>
      </c>
    </row>
    <row r="12" spans="1:6">
      <c r="A12" s="151"/>
      <c r="B12" s="148" t="s">
        <v>157</v>
      </c>
      <c r="C12" s="140">
        <f>PRODUCT('[13]MATERIAL STATEMENT'!H7)</f>
        <v>50.093457943925237</v>
      </c>
      <c r="D12" s="140" t="s">
        <v>11</v>
      </c>
      <c r="E12" s="148">
        <v>117.54</v>
      </c>
      <c r="F12" s="140">
        <f t="shared" si="1"/>
        <v>5887.9850467289725</v>
      </c>
    </row>
    <row r="13" spans="1:6">
      <c r="A13" s="151"/>
      <c r="B13" s="151"/>
      <c r="C13" s="298" t="s">
        <v>32</v>
      </c>
      <c r="D13" s="298"/>
      <c r="E13" s="299"/>
      <c r="F13" s="150">
        <f>SUM(F5:F12)</f>
        <v>287114.50247215369</v>
      </c>
    </row>
    <row r="14" spans="1:6">
      <c r="A14" s="151"/>
      <c r="B14" s="151"/>
      <c r="C14" s="298" t="s">
        <v>158</v>
      </c>
      <c r="D14" s="298"/>
      <c r="E14" s="299"/>
      <c r="F14" s="150">
        <f>F13*18%</f>
        <v>51680.610444987666</v>
      </c>
    </row>
    <row r="15" spans="1:6">
      <c r="A15" s="151"/>
      <c r="B15" s="151"/>
      <c r="C15" s="157"/>
      <c r="D15" s="157"/>
      <c r="E15" s="158" t="s">
        <v>32</v>
      </c>
      <c r="F15" s="150">
        <f>F13+F14</f>
        <v>338795.11291714135</v>
      </c>
    </row>
    <row r="16" spans="1:6">
      <c r="A16" s="151"/>
      <c r="B16" s="151"/>
      <c r="C16" s="298" t="s">
        <v>159</v>
      </c>
      <c r="D16" s="298"/>
      <c r="E16" s="299"/>
      <c r="F16" s="150">
        <f>PRODUCT(F15,0.01)</f>
        <v>3387.9511291714134</v>
      </c>
    </row>
    <row r="17" spans="1:6">
      <c r="A17" s="151"/>
      <c r="B17" s="151"/>
      <c r="C17" s="298" t="s">
        <v>32</v>
      </c>
      <c r="D17" s="298"/>
      <c r="E17" s="299"/>
      <c r="F17" s="150">
        <f>F15+F16</f>
        <v>342183.06404631276</v>
      </c>
    </row>
    <row r="18" spans="1:6">
      <c r="A18" s="159"/>
      <c r="B18" s="160"/>
      <c r="C18" s="160"/>
      <c r="D18" s="160"/>
      <c r="E18" s="160"/>
      <c r="F18" s="160"/>
    </row>
    <row r="19" spans="1:6">
      <c r="A19" s="159"/>
      <c r="B19" s="160"/>
      <c r="C19" s="160"/>
      <c r="D19" s="160"/>
      <c r="E19" s="160"/>
      <c r="F19" s="160"/>
    </row>
    <row r="20" spans="1:6">
      <c r="C20" s="35"/>
      <c r="D20" s="35"/>
      <c r="E20" s="35"/>
      <c r="F20" s="35"/>
    </row>
    <row r="21" spans="1:6">
      <c r="C21" s="35"/>
      <c r="D21" s="35"/>
      <c r="E21" s="35"/>
      <c r="F21" s="35"/>
    </row>
    <row r="22" spans="1:6">
      <c r="C22" s="35"/>
      <c r="D22" s="35"/>
      <c r="E22" s="35"/>
      <c r="F22" s="35"/>
    </row>
    <row r="23" spans="1:6">
      <c r="C23" s="35"/>
      <c r="D23" s="35"/>
      <c r="E23" s="35"/>
      <c r="F23" s="35"/>
    </row>
    <row r="24" spans="1:6">
      <c r="C24" s="35"/>
      <c r="D24" s="35"/>
      <c r="E24" s="35"/>
      <c r="F24" s="35"/>
    </row>
    <row r="25" spans="1:6">
      <c r="C25" s="35"/>
      <c r="D25" s="35"/>
      <c r="E25" s="35"/>
      <c r="F25" s="35"/>
    </row>
    <row r="26" spans="1:6">
      <c r="C26" s="35"/>
      <c r="D26" s="35"/>
      <c r="E26" s="35"/>
      <c r="F26" s="35"/>
    </row>
    <row r="27" spans="1:6">
      <c r="C27" s="35"/>
      <c r="D27" s="35"/>
      <c r="E27" s="35"/>
      <c r="F27" s="35"/>
    </row>
    <row r="28" spans="1:6">
      <c r="C28" s="35"/>
      <c r="D28" s="35"/>
      <c r="E28" s="35"/>
      <c r="F28" s="35"/>
    </row>
    <row r="29" spans="1:6">
      <c r="C29" s="35"/>
      <c r="D29" s="35"/>
      <c r="E29" s="35"/>
      <c r="F29" s="35"/>
    </row>
    <row r="30" spans="1:6">
      <c r="C30" s="35"/>
      <c r="D30" s="35"/>
      <c r="E30" s="35"/>
      <c r="F30" s="35"/>
    </row>
    <row r="31" spans="1:6">
      <c r="C31" s="35"/>
      <c r="D31" s="35"/>
      <c r="E31" s="35"/>
      <c r="F31" s="35"/>
    </row>
    <row r="32" spans="1:6">
      <c r="C32" s="35"/>
      <c r="D32" s="35"/>
      <c r="E32" s="35"/>
      <c r="F32" s="35"/>
    </row>
    <row r="33" spans="3:6">
      <c r="C33" s="35"/>
      <c r="D33" s="35"/>
      <c r="E33" s="35"/>
      <c r="F33" s="35"/>
    </row>
    <row r="34" spans="3:6">
      <c r="C34" s="35"/>
      <c r="D34" s="35"/>
      <c r="E34" s="35"/>
      <c r="F34" s="35"/>
    </row>
    <row r="35" spans="3:6">
      <c r="C35" s="35"/>
      <c r="D35" s="35"/>
      <c r="E35" s="35"/>
      <c r="F35" s="35"/>
    </row>
    <row r="36" spans="3:6">
      <c r="C36" s="35"/>
      <c r="D36" s="35"/>
      <c r="E36" s="35"/>
      <c r="F36" s="35"/>
    </row>
    <row r="37" spans="3:6">
      <c r="C37" s="35"/>
      <c r="D37" s="35"/>
      <c r="E37" s="35"/>
      <c r="F37" s="35"/>
    </row>
    <row r="38" spans="3:6">
      <c r="C38" s="35"/>
      <c r="D38" s="35"/>
      <c r="E38" s="35"/>
      <c r="F38" s="35"/>
    </row>
    <row r="39" spans="3:6">
      <c r="C39" s="35"/>
      <c r="D39" s="35"/>
      <c r="E39" s="35"/>
      <c r="F39" s="35"/>
    </row>
    <row r="40" spans="3:6">
      <c r="C40" s="35"/>
      <c r="D40" s="35"/>
      <c r="E40" s="35"/>
      <c r="F40" s="35"/>
    </row>
    <row r="41" spans="3:6">
      <c r="C41" s="35"/>
      <c r="D41" s="35"/>
      <c r="E41" s="35"/>
      <c r="F41" s="35"/>
    </row>
    <row r="42" spans="3:6">
      <c r="C42" s="35"/>
      <c r="D42" s="35"/>
      <c r="E42" s="35"/>
      <c r="F42" s="35"/>
    </row>
    <row r="43" spans="3:6">
      <c r="C43" s="35"/>
      <c r="D43" s="35"/>
      <c r="E43" s="35"/>
      <c r="F43" s="35"/>
    </row>
    <row r="44" spans="3:6">
      <c r="C44" s="35"/>
      <c r="D44" s="35"/>
      <c r="E44" s="35"/>
      <c r="F44" s="35"/>
    </row>
    <row r="45" spans="3:6">
      <c r="C45" s="35"/>
      <c r="D45" s="35"/>
      <c r="E45" s="35"/>
      <c r="F45" s="35"/>
    </row>
    <row r="46" spans="3:6">
      <c r="C46" s="35"/>
      <c r="D46" s="35"/>
      <c r="E46" s="35"/>
      <c r="F46" s="35"/>
    </row>
    <row r="47" spans="3:6">
      <c r="C47" s="35"/>
      <c r="D47" s="35"/>
      <c r="E47" s="35"/>
      <c r="F47" s="35"/>
    </row>
    <row r="48" spans="3:6">
      <c r="C48" s="35"/>
      <c r="D48" s="35"/>
      <c r="E48" s="35"/>
      <c r="F48" s="35"/>
    </row>
    <row r="49" spans="3:6">
      <c r="C49" s="35"/>
      <c r="D49" s="35"/>
      <c r="E49" s="35"/>
      <c r="F49" s="35"/>
    </row>
  </sheetData>
  <mergeCells count="7">
    <mergeCell ref="C17:E17"/>
    <mergeCell ref="A1:F1"/>
    <mergeCell ref="A2:F2"/>
    <mergeCell ref="A3:F3"/>
    <mergeCell ref="C13:E13"/>
    <mergeCell ref="C14:E14"/>
    <mergeCell ref="C16:E16"/>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7"/>
  <sheetViews>
    <sheetView workbookViewId="0">
      <selection activeCell="A3" sqref="A3:F3"/>
    </sheetView>
  </sheetViews>
  <sheetFormatPr defaultRowHeight="18.75"/>
  <cols>
    <col min="2" max="2" width="36" customWidth="1"/>
    <col min="3" max="3" width="8.796875" style="195"/>
    <col min="6" max="6" width="10.69921875" bestFit="1" customWidth="1"/>
  </cols>
  <sheetData>
    <row r="1" spans="1:6" ht="20.25">
      <c r="A1" s="290" t="s">
        <v>50</v>
      </c>
      <c r="B1" s="291"/>
      <c r="C1" s="291"/>
      <c r="D1" s="291"/>
      <c r="E1" s="291"/>
      <c r="F1" s="292"/>
    </row>
    <row r="2" spans="1:6" ht="18" customHeight="1">
      <c r="A2" s="293" t="s">
        <v>51</v>
      </c>
      <c r="B2" s="294"/>
      <c r="C2" s="294"/>
      <c r="D2" s="294"/>
      <c r="E2" s="294"/>
      <c r="F2" s="295"/>
    </row>
    <row r="3" spans="1:6" ht="32.450000000000003" customHeight="1">
      <c r="A3" s="304" t="str">
        <f>[14]ESTIMATE!A2</f>
        <v>Name of Work :-CONSTRUCTION OF PCC R0AD AT EKTA NAGAR HOUSE OF MANOJ SARMA TO HOUSE OF RAMSHAN SINGH VIA SURANR SINGH UNDER WARD NO-52</v>
      </c>
      <c r="B3" s="305"/>
      <c r="C3" s="305"/>
      <c r="D3" s="305"/>
      <c r="E3" s="305"/>
      <c r="F3" s="306"/>
    </row>
    <row r="4" spans="1:6" ht="31.5">
      <c r="A4" s="196" t="s">
        <v>52</v>
      </c>
      <c r="B4" s="197" t="s">
        <v>39</v>
      </c>
      <c r="C4" s="197" t="s">
        <v>5</v>
      </c>
      <c r="D4" s="197" t="s">
        <v>6</v>
      </c>
      <c r="E4" s="196" t="s">
        <v>53</v>
      </c>
      <c r="F4" s="196" t="s">
        <v>54</v>
      </c>
    </row>
    <row r="5" spans="1:6" ht="28.5">
      <c r="A5" s="39">
        <v>1</v>
      </c>
      <c r="B5" s="163" t="str">
        <f>[14]ESTIMATE!B4</f>
        <v>Labour for site clearence before and after the work etc.</v>
      </c>
      <c r="C5" s="199">
        <f>[14]ESTIMATE!G4</f>
        <v>5</v>
      </c>
      <c r="D5" s="200" t="str">
        <f>[14]ESTIMATE!H4</f>
        <v>No.</v>
      </c>
      <c r="E5" s="199">
        <f>[14]ESTIMATE!I4</f>
        <v>326.85000000000002</v>
      </c>
      <c r="F5" s="199">
        <f t="shared" ref="F5:F10" si="0">ROUND(C5*E5,2)</f>
        <v>1634.25</v>
      </c>
    </row>
    <row r="6" spans="1:6" ht="120">
      <c r="A6" s="196" t="str">
        <f>[14]ESTIMATE!A5</f>
        <v>2       5.1.1.</v>
      </c>
      <c r="B6" s="198" t="str">
        <f>[14]ESTIMATE!B5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199">
        <f>[14]ESTIMATE!G8</f>
        <v>132.06</v>
      </c>
      <c r="D6" s="200" t="s">
        <v>11</v>
      </c>
      <c r="E6" s="199">
        <f>[14]ESTIMATE!I8</f>
        <v>151.82</v>
      </c>
      <c r="F6" s="199">
        <f t="shared" si="0"/>
        <v>20049.349999999999</v>
      </c>
    </row>
    <row r="7" spans="1:6" ht="120">
      <c r="A7" s="196" t="str">
        <f>[14]ESTIMATE!A9</f>
        <v>3.           M-004</v>
      </c>
      <c r="B7" s="198" t="str">
        <f>[14]ESTIMATE!B9</f>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
      <c r="C7" s="199">
        <f>[14]ESTIMATE!G12</f>
        <v>49.28</v>
      </c>
      <c r="D7" s="200" t="s">
        <v>11</v>
      </c>
      <c r="E7" s="199">
        <f>[14]ESTIMATE!I12</f>
        <v>347.85</v>
      </c>
      <c r="F7" s="199">
        <f t="shared" si="0"/>
        <v>17142.05</v>
      </c>
    </row>
    <row r="8" spans="1:6" ht="75">
      <c r="A8" s="196" t="str">
        <f>[14]ESTIMATE!A13</f>
        <v>4.       5.6.8 (C.I.W.)</v>
      </c>
      <c r="B8" s="198" t="str">
        <f>[14]ESTIMATE!B13</f>
        <v>Supplying and laying (properly as per design and drawing )rip-rap with good quality of boulders duly packed including the cost of materials,royalty all taxes etc.but excluding the cost of carriage, all complete as per specification and direction of E/I.</v>
      </c>
      <c r="C8" s="199">
        <f>[14]ESTIMATE!G16</f>
        <v>82.79</v>
      </c>
      <c r="D8" s="200" t="s">
        <v>11</v>
      </c>
      <c r="E8" s="199">
        <f>[14]ESTIMATE!I16</f>
        <v>1756.4</v>
      </c>
      <c r="F8" s="199">
        <f t="shared" si="0"/>
        <v>145412.35999999999</v>
      </c>
    </row>
    <row r="9" spans="1:6" ht="65.099999999999994" customHeight="1">
      <c r="A9" s="196" t="str">
        <f>[14]ESTIMATE!A17</f>
        <v>5.     5.3.1.1</v>
      </c>
      <c r="B9" s="201" t="str">
        <f>[14]ESTIMATE!B17</f>
        <v xml:space="preserve">Providing and laying in position cement concrete of specified grade excluding the cost of centering and shuttering- All work upto plinth level : 1:1½:3 (1 cemet : 1½ coarse sand (zone-iii) : 3 graded stone aggregate 20mm nominal size )  </v>
      </c>
      <c r="C9" s="199">
        <f>[14]ESTIMATE!G20</f>
        <v>98.56</v>
      </c>
      <c r="D9" s="200" t="s">
        <v>11</v>
      </c>
      <c r="E9" s="199">
        <f>[14]ESTIMATE!I20</f>
        <v>4961.7299999999996</v>
      </c>
      <c r="F9" s="199">
        <f t="shared" si="0"/>
        <v>489028.11</v>
      </c>
    </row>
    <row r="10" spans="1:6" ht="60">
      <c r="A10" s="196" t="str">
        <f>[14]ESTIMATE!A21</f>
        <v>6               5.3.17.1</v>
      </c>
      <c r="B10" s="198" t="str">
        <f>[14]ESTIMATE!B21</f>
        <v>Centering and shuttering including strutting, propping etc. and removal of from for Foundations, footings, bases of columns, etc. for mass concrete.</v>
      </c>
      <c r="C10" s="199">
        <f>[14]ESTIMATE!G24</f>
        <v>53.9</v>
      </c>
      <c r="D10" s="202" t="s">
        <v>20</v>
      </c>
      <c r="E10" s="196">
        <f>[14]ESTIMATE!I24</f>
        <v>194.5</v>
      </c>
      <c r="F10" s="213">
        <f t="shared" si="0"/>
        <v>10483.549999999999</v>
      </c>
    </row>
    <row r="11" spans="1:6">
      <c r="A11" s="196">
        <f>[14]ESTIMATE!A25</f>
        <v>7</v>
      </c>
      <c r="B11" s="203" t="s">
        <v>21</v>
      </c>
      <c r="C11" s="199"/>
      <c r="D11" s="204"/>
      <c r="E11" s="205"/>
      <c r="F11" s="199"/>
    </row>
    <row r="12" spans="1:6">
      <c r="A12" s="206" t="s">
        <v>22</v>
      </c>
      <c r="B12" s="207" t="str">
        <f>[14]ESTIMATE!B26</f>
        <v>SAND-LEAD-42KM</v>
      </c>
      <c r="C12" s="199">
        <f>PRODUCT('[14]MATERIAL '!F7)</f>
        <v>42.38</v>
      </c>
      <c r="D12" s="204" t="s">
        <v>11</v>
      </c>
      <c r="E12" s="39">
        <f>[14]ESTIMATE!I26</f>
        <v>744.66</v>
      </c>
      <c r="F12" s="199">
        <f t="shared" ref="F12:F16" si="1">ROUND(C12*E12,2)</f>
        <v>31558.69</v>
      </c>
    </row>
    <row r="13" spans="1:6">
      <c r="A13" s="206" t="s">
        <v>24</v>
      </c>
      <c r="B13" s="208" t="str">
        <f>[14]ESTIMATE!B27</f>
        <v>STONE DUST-LEAD-15KM</v>
      </c>
      <c r="C13" s="199">
        <f>PRODUCT('[14]MATERIAL '!G7)</f>
        <v>49.28</v>
      </c>
      <c r="D13" s="204" t="s">
        <v>11</v>
      </c>
      <c r="E13" s="176">
        <f>[14]ESTIMATE!I27</f>
        <v>342.9</v>
      </c>
      <c r="F13" s="199">
        <f t="shared" si="1"/>
        <v>16898.11</v>
      </c>
    </row>
    <row r="14" spans="1:6">
      <c r="A14" s="206" t="s">
        <v>26</v>
      </c>
      <c r="B14" s="208" t="str">
        <f>[14]ESTIMATE!B28</f>
        <v>STONE CHIPS-LEAD-15KM</v>
      </c>
      <c r="C14" s="199">
        <f>PRODUCT('[14]MATERIAL '!H7)</f>
        <v>84.76</v>
      </c>
      <c r="D14" s="204" t="s">
        <v>11</v>
      </c>
      <c r="E14" s="176">
        <f>[14]ESTIMATE!I28</f>
        <v>342.9</v>
      </c>
      <c r="F14" s="199">
        <f t="shared" si="1"/>
        <v>29064.2</v>
      </c>
    </row>
    <row r="15" spans="1:6">
      <c r="A15" s="206" t="s">
        <v>28</v>
      </c>
      <c r="B15" s="208" t="str">
        <f>[14]ESTIMATE!B29</f>
        <v>BOULDER-LEAD-29KM</v>
      </c>
      <c r="C15" s="199">
        <f>PRODUCT('[14]MATERIAL '!I7)</f>
        <v>82.79</v>
      </c>
      <c r="D15" s="204" t="s">
        <v>11</v>
      </c>
      <c r="E15" s="39">
        <f>[14]ESTIMATE!I29</f>
        <v>570.94000000000005</v>
      </c>
      <c r="F15" s="199">
        <f t="shared" si="1"/>
        <v>47268.12</v>
      </c>
    </row>
    <row r="16" spans="1:6">
      <c r="A16" s="206" t="s">
        <v>30</v>
      </c>
      <c r="B16" s="198" t="str">
        <f>[14]ESTIMATE!B30</f>
        <v>EARTH-LEAD-01km</v>
      </c>
      <c r="C16" s="199">
        <f>PRODUCT('[14]MATERIAL '!J7)</f>
        <v>132.06</v>
      </c>
      <c r="D16" s="204" t="s">
        <v>11</v>
      </c>
      <c r="E16" s="176">
        <f>[14]ESTIMATE!I30</f>
        <v>117.54</v>
      </c>
      <c r="F16" s="199">
        <f t="shared" si="1"/>
        <v>15522.33</v>
      </c>
    </row>
    <row r="17" spans="1:6">
      <c r="A17" s="209"/>
      <c r="B17" s="209"/>
      <c r="C17" s="276" t="s">
        <v>46</v>
      </c>
      <c r="D17" s="276"/>
      <c r="E17" s="276"/>
      <c r="F17" s="191">
        <f>SUM(F5:F16)</f>
        <v>824061.11999999988</v>
      </c>
    </row>
    <row r="18" spans="1:6">
      <c r="A18" s="209"/>
      <c r="B18" s="209"/>
      <c r="C18" s="276" t="s">
        <v>47</v>
      </c>
      <c r="D18" s="276"/>
      <c r="E18" s="276"/>
      <c r="F18" s="191">
        <f>F17*18%</f>
        <v>148331.00159999996</v>
      </c>
    </row>
    <row r="19" spans="1:6">
      <c r="A19" s="209"/>
      <c r="B19" s="209"/>
      <c r="C19" s="276" t="s">
        <v>46</v>
      </c>
      <c r="D19" s="276"/>
      <c r="E19" s="276"/>
      <c r="F19" s="191">
        <f>SUM(F17:F18)</f>
        <v>972392.12159999984</v>
      </c>
    </row>
    <row r="20" spans="1:6">
      <c r="A20" s="209"/>
      <c r="B20" s="209"/>
      <c r="C20" s="276" t="s">
        <v>48</v>
      </c>
      <c r="D20" s="276"/>
      <c r="E20" s="276"/>
      <c r="F20" s="191">
        <f>ROUND(F19*0.01,2)</f>
        <v>9723.92</v>
      </c>
    </row>
    <row r="21" spans="1:6">
      <c r="A21" s="209"/>
      <c r="B21" s="209"/>
      <c r="C21" s="276" t="s">
        <v>32</v>
      </c>
      <c r="D21" s="276"/>
      <c r="E21" s="276"/>
      <c r="F21" s="191">
        <f>SUM(F19:F20)</f>
        <v>982116.04159999988</v>
      </c>
    </row>
    <row r="22" spans="1:6">
      <c r="A22" s="210"/>
      <c r="B22" s="210"/>
      <c r="C22" s="214"/>
      <c r="D22" s="211"/>
      <c r="E22" s="211"/>
      <c r="F22" s="212"/>
    </row>
    <row r="23" spans="1:6">
      <c r="A23" s="210"/>
      <c r="B23" s="210"/>
      <c r="C23" s="214"/>
      <c r="D23" s="211"/>
      <c r="E23" s="211"/>
      <c r="F23" s="212"/>
    </row>
    <row r="24" spans="1:6">
      <c r="A24" s="184"/>
    </row>
    <row r="25" spans="1:6">
      <c r="A25" s="184"/>
    </row>
    <row r="26" spans="1:6">
      <c r="A26" s="184"/>
      <c r="B26" s="185"/>
      <c r="C26" s="186"/>
      <c r="F26" s="187"/>
    </row>
    <row r="27" spans="1:6">
      <c r="A27" s="184"/>
      <c r="B27" s="185"/>
      <c r="C27" s="186"/>
      <c r="F27" s="187"/>
    </row>
  </sheetData>
  <mergeCells count="8">
    <mergeCell ref="C20:E20"/>
    <mergeCell ref="C21:E21"/>
    <mergeCell ref="A1:F1"/>
    <mergeCell ref="A2:F2"/>
    <mergeCell ref="A3:F3"/>
    <mergeCell ref="C17:E17"/>
    <mergeCell ref="C18:E18"/>
    <mergeCell ref="C19:E19"/>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8"/>
  <sheetViews>
    <sheetView workbookViewId="0">
      <selection activeCell="A3" sqref="A3:F3"/>
    </sheetView>
  </sheetViews>
  <sheetFormatPr defaultRowHeight="18.75"/>
  <cols>
    <col min="1" max="1" width="5.3984375" customWidth="1"/>
    <col min="2" max="2" width="35.296875" customWidth="1"/>
    <col min="3" max="3" width="6" customWidth="1"/>
    <col min="4" max="4" width="3.59765625" bestFit="1" customWidth="1"/>
    <col min="5" max="5" width="7.19921875" customWidth="1"/>
    <col min="6" max="6" width="13.19921875" customWidth="1"/>
  </cols>
  <sheetData>
    <row r="1" spans="1:6" ht="34.5" customHeight="1">
      <c r="A1" s="218" t="s">
        <v>0</v>
      </c>
      <c r="B1" s="218"/>
      <c r="C1" s="218"/>
      <c r="D1" s="218"/>
      <c r="E1" s="218"/>
      <c r="F1" s="218"/>
    </row>
    <row r="2" spans="1:6" ht="18.75" customHeight="1">
      <c r="A2" s="219" t="s">
        <v>1</v>
      </c>
      <c r="B2" s="220"/>
      <c r="C2" s="220"/>
      <c r="D2" s="220"/>
      <c r="E2" s="220"/>
      <c r="F2" s="221"/>
    </row>
    <row r="3" spans="1:6" ht="38.25" customHeight="1">
      <c r="A3" s="222" t="s">
        <v>2</v>
      </c>
      <c r="B3" s="222"/>
      <c r="C3" s="222"/>
      <c r="D3" s="222"/>
      <c r="E3" s="222"/>
      <c r="F3" s="222"/>
    </row>
    <row r="4" spans="1:6" ht="21" customHeight="1">
      <c r="A4" s="1" t="s">
        <v>3</v>
      </c>
      <c r="B4" s="2" t="s">
        <v>4</v>
      </c>
      <c r="C4" s="2" t="s">
        <v>5</v>
      </c>
      <c r="D4" s="2" t="s">
        <v>6</v>
      </c>
      <c r="E4" s="1" t="s">
        <v>7</v>
      </c>
      <c r="F4" s="1" t="s">
        <v>8</v>
      </c>
    </row>
    <row r="5" spans="1:6" s="9" customFormat="1" ht="96.75" customHeight="1">
      <c r="A5" s="3" t="s">
        <v>9</v>
      </c>
      <c r="B5" s="4" t="s">
        <v>10</v>
      </c>
      <c r="C5" s="5">
        <f>[1]MLA!G7</f>
        <v>145.14301897479467</v>
      </c>
      <c r="D5" s="6" t="s">
        <v>11</v>
      </c>
      <c r="E5" s="7">
        <v>151.82</v>
      </c>
      <c r="F5" s="8">
        <f>ROUND((C5*E5),2)</f>
        <v>22035.61</v>
      </c>
    </row>
    <row r="6" spans="1:6" ht="98.25" customHeight="1">
      <c r="A6" s="10" t="s">
        <v>12</v>
      </c>
      <c r="B6" s="11" t="s">
        <v>13</v>
      </c>
      <c r="C6" s="12">
        <f>[1]MLA!G11</f>
        <v>29.028603794958933</v>
      </c>
      <c r="D6" s="6" t="s">
        <v>11</v>
      </c>
      <c r="E6" s="12">
        <v>589.51</v>
      </c>
      <c r="F6" s="8">
        <f t="shared" ref="F6:F15" si="0">ROUND((C6*E6),2)</f>
        <v>17112.650000000001</v>
      </c>
    </row>
    <row r="7" spans="1:6" s="13" customFormat="1" ht="77.25" customHeight="1">
      <c r="A7" s="10" t="s">
        <v>14</v>
      </c>
      <c r="B7" s="11" t="s">
        <v>15</v>
      </c>
      <c r="C7" s="12">
        <f>[1]MLA!G15</f>
        <v>47.606910223732648</v>
      </c>
      <c r="D7" s="6" t="s">
        <v>11</v>
      </c>
      <c r="E7" s="12">
        <v>1756.4</v>
      </c>
      <c r="F7" s="8">
        <f t="shared" si="0"/>
        <v>83616.78</v>
      </c>
    </row>
    <row r="8" spans="1:6" s="13" customFormat="1" ht="74.25" customHeight="1">
      <c r="A8" s="14" t="s">
        <v>16</v>
      </c>
      <c r="B8" s="15" t="s">
        <v>17</v>
      </c>
      <c r="C8" s="12">
        <f>[1]MLA!G19</f>
        <v>58.057207589917866</v>
      </c>
      <c r="D8" s="6" t="s">
        <v>11</v>
      </c>
      <c r="E8" s="12">
        <v>4961.7299999999996</v>
      </c>
      <c r="F8" s="8">
        <f t="shared" si="0"/>
        <v>288064.19</v>
      </c>
    </row>
    <row r="9" spans="1:6" s="13" customFormat="1" ht="71.25" customHeight="1">
      <c r="A9" s="10" t="s">
        <v>18</v>
      </c>
      <c r="B9" s="11" t="s">
        <v>19</v>
      </c>
      <c r="C9" s="16">
        <f>[1]MLA!G23</f>
        <v>38.104089219330852</v>
      </c>
      <c r="D9" s="17" t="s">
        <v>20</v>
      </c>
      <c r="E9" s="18">
        <v>194.5</v>
      </c>
      <c r="F9" s="8">
        <f t="shared" si="0"/>
        <v>7411.25</v>
      </c>
    </row>
    <row r="10" spans="1:6" s="13" customFormat="1" ht="36.75" customHeight="1">
      <c r="A10" s="19">
        <v>6</v>
      </c>
      <c r="B10" s="20" t="s">
        <v>21</v>
      </c>
      <c r="C10" s="21">
        <v>0</v>
      </c>
      <c r="D10" s="21"/>
      <c r="E10" s="21"/>
      <c r="F10" s="8">
        <f t="shared" si="0"/>
        <v>0</v>
      </c>
    </row>
    <row r="11" spans="1:6" s="13" customFormat="1" ht="31.5" customHeight="1">
      <c r="A11" s="22" t="s">
        <v>22</v>
      </c>
      <c r="B11" s="23" t="s">
        <v>23</v>
      </c>
      <c r="C11" s="12">
        <f>[1]MLA!G25</f>
        <v>24.964599263664681</v>
      </c>
      <c r="D11" s="12" t="s">
        <v>11</v>
      </c>
      <c r="E11" s="18">
        <f>'[2]RCC DRAIN'!I37</f>
        <v>848.82</v>
      </c>
      <c r="F11" s="8">
        <f t="shared" si="0"/>
        <v>21190.45</v>
      </c>
    </row>
    <row r="12" spans="1:6" s="13" customFormat="1" ht="30" customHeight="1">
      <c r="A12" s="22" t="s">
        <v>24</v>
      </c>
      <c r="B12" s="23" t="s">
        <v>25</v>
      </c>
      <c r="C12" s="12">
        <f>[1]MLA!G26</f>
        <v>29.028603794958933</v>
      </c>
      <c r="D12" s="12" t="s">
        <v>11</v>
      </c>
      <c r="E12" s="18">
        <f>'[2]RCC DRAIN'!I38</f>
        <v>313.14</v>
      </c>
      <c r="F12" s="8">
        <f t="shared" si="0"/>
        <v>9090.02</v>
      </c>
    </row>
    <row r="13" spans="1:6" s="13" customFormat="1" ht="27.75" customHeight="1">
      <c r="A13" s="22" t="s">
        <v>26</v>
      </c>
      <c r="B13" s="24" t="s">
        <v>27</v>
      </c>
      <c r="C13" s="12">
        <f>[1]MLA!G27</f>
        <v>49.929198527329362</v>
      </c>
      <c r="D13" s="12" t="s">
        <v>11</v>
      </c>
      <c r="E13" s="18">
        <f>'[2]RCC DRAIN'!I39</f>
        <v>447.06</v>
      </c>
      <c r="F13" s="8">
        <f t="shared" si="0"/>
        <v>22321.35</v>
      </c>
    </row>
    <row r="14" spans="1:6" s="13" customFormat="1" ht="30" customHeight="1">
      <c r="A14" s="22" t="s">
        <v>28</v>
      </c>
      <c r="B14" s="24" t="s">
        <v>29</v>
      </c>
      <c r="C14" s="12">
        <f>[1]MLA!G28</f>
        <v>47.606910223732648</v>
      </c>
      <c r="D14" s="12" t="s">
        <v>11</v>
      </c>
      <c r="E14" s="18">
        <f>'[2]RCC DRAIN'!I40</f>
        <v>679.66</v>
      </c>
      <c r="F14" s="8">
        <f t="shared" si="0"/>
        <v>32356.51</v>
      </c>
    </row>
    <row r="15" spans="1:6" s="13" customFormat="1" ht="29.25" customHeight="1">
      <c r="A15" s="22" t="s">
        <v>30</v>
      </c>
      <c r="B15" s="24" t="s">
        <v>31</v>
      </c>
      <c r="C15" s="12">
        <f>[1]MLA!G29</f>
        <v>145.14301897479467</v>
      </c>
      <c r="D15" s="12" t="s">
        <v>11</v>
      </c>
      <c r="E15" s="18">
        <f>'[2]RCC DRAIN'!I41</f>
        <v>117.54</v>
      </c>
      <c r="F15" s="8">
        <f t="shared" si="0"/>
        <v>17060.11</v>
      </c>
    </row>
    <row r="16" spans="1:6" s="13" customFormat="1" ht="28.5" customHeight="1">
      <c r="A16" s="25"/>
      <c r="B16" s="26"/>
      <c r="C16" s="27"/>
      <c r="D16" s="28"/>
      <c r="E16" s="28" t="s">
        <v>32</v>
      </c>
      <c r="F16" s="29">
        <f>SUM(F5:F15)</f>
        <v>520258.92</v>
      </c>
    </row>
    <row r="17" spans="1:6" s="13" customFormat="1" ht="28.5" customHeight="1">
      <c r="A17" s="30"/>
      <c r="B17" s="31"/>
      <c r="C17" s="28"/>
      <c r="D17" s="27"/>
      <c r="E17" s="28" t="s">
        <v>33</v>
      </c>
      <c r="F17" s="29">
        <f>F16*18/100</f>
        <v>93646.60560000001</v>
      </c>
    </row>
    <row r="18" spans="1:6" s="13" customFormat="1" ht="27" customHeight="1">
      <c r="A18" s="30"/>
      <c r="B18" s="31"/>
      <c r="C18" s="28"/>
      <c r="D18" s="28"/>
      <c r="E18" s="28"/>
      <c r="F18" s="29">
        <f>F16+F17</f>
        <v>613905.52560000005</v>
      </c>
    </row>
    <row r="19" spans="1:6" s="13" customFormat="1" ht="29.25" customHeight="1">
      <c r="A19" s="30"/>
      <c r="B19" s="31"/>
      <c r="C19" s="32"/>
      <c r="D19" s="28"/>
      <c r="E19" s="28" t="s">
        <v>34</v>
      </c>
      <c r="F19" s="29">
        <f>F18*1/100</f>
        <v>6139.0552560000006</v>
      </c>
    </row>
    <row r="20" spans="1:6" s="13" customFormat="1" ht="31.5" customHeight="1">
      <c r="A20" s="30"/>
      <c r="B20" s="31"/>
      <c r="C20" s="32"/>
      <c r="D20" s="28"/>
      <c r="E20" s="28" t="s">
        <v>32</v>
      </c>
      <c r="F20" s="33">
        <f>F18+F19</f>
        <v>620044.58085600007</v>
      </c>
    </row>
    <row r="21" spans="1:6" s="13" customFormat="1" ht="15">
      <c r="C21" s="34"/>
      <c r="D21" s="34"/>
      <c r="E21" s="34"/>
      <c r="F21" s="34"/>
    </row>
    <row r="22" spans="1:6" s="13" customFormat="1" ht="15">
      <c r="C22" s="34"/>
      <c r="D22" s="34"/>
      <c r="E22" s="34"/>
      <c r="F22" s="34"/>
    </row>
    <row r="23" spans="1:6" s="13" customFormat="1" ht="15">
      <c r="C23" s="34"/>
      <c r="D23" s="34"/>
      <c r="E23" s="34"/>
      <c r="F23" s="34"/>
    </row>
    <row r="24" spans="1:6" s="13" customFormat="1" ht="15">
      <c r="C24" s="34"/>
      <c r="D24" s="34"/>
      <c r="E24" s="34"/>
      <c r="F24" s="34"/>
    </row>
    <row r="25" spans="1:6" s="13" customFormat="1" ht="15">
      <c r="C25" s="34"/>
      <c r="D25" s="34"/>
      <c r="E25" s="34"/>
      <c r="F25" s="34"/>
    </row>
    <row r="26" spans="1:6" s="13" customFormat="1" ht="15">
      <c r="C26" s="34"/>
      <c r="D26" s="34"/>
      <c r="E26" s="34"/>
      <c r="F26" s="34"/>
    </row>
    <row r="27" spans="1:6" s="13" customFormat="1" ht="15">
      <c r="C27" s="34"/>
      <c r="D27" s="34"/>
      <c r="E27" s="34"/>
      <c r="F27" s="34"/>
    </row>
    <row r="28" spans="1:6" s="13" customFormat="1" ht="15">
      <c r="C28" s="34"/>
      <c r="D28" s="34"/>
      <c r="E28" s="34"/>
      <c r="F28" s="34"/>
    </row>
    <row r="29" spans="1:6" s="13" customFormat="1" ht="15">
      <c r="C29" s="34"/>
      <c r="D29" s="34"/>
      <c r="E29" s="34"/>
      <c r="F29" s="34"/>
    </row>
    <row r="30" spans="1:6" s="13" customFormat="1" ht="15">
      <c r="C30" s="34"/>
      <c r="D30" s="34"/>
      <c r="E30" s="34"/>
      <c r="F30" s="34"/>
    </row>
    <row r="31" spans="1:6" s="13" customFormat="1" ht="15">
      <c r="C31" s="34"/>
      <c r="D31" s="34"/>
      <c r="E31" s="34"/>
      <c r="F31" s="34"/>
    </row>
    <row r="32" spans="1:6" s="13" customFormat="1" ht="15">
      <c r="C32" s="34"/>
      <c r="D32" s="34"/>
      <c r="E32" s="34"/>
      <c r="F32" s="34"/>
    </row>
    <row r="33" spans="1:6" s="13" customFormat="1" ht="15">
      <c r="C33" s="34"/>
      <c r="D33" s="34"/>
      <c r="E33" s="34"/>
      <c r="F33" s="34"/>
    </row>
    <row r="34" spans="1:6" s="13" customFormat="1" ht="15">
      <c r="C34" s="34"/>
      <c r="D34" s="34"/>
      <c r="E34" s="34"/>
      <c r="F34" s="34"/>
    </row>
    <row r="35" spans="1:6" s="13" customFormat="1" ht="15">
      <c r="C35" s="34"/>
      <c r="D35" s="34"/>
      <c r="E35" s="34"/>
      <c r="F35" s="34"/>
    </row>
    <row r="36" spans="1:6" s="13" customFormat="1" ht="15">
      <c r="C36" s="34"/>
      <c r="D36" s="34"/>
      <c r="E36" s="34"/>
      <c r="F36" s="34"/>
    </row>
    <row r="37" spans="1:6" s="13" customFormat="1" ht="15">
      <c r="C37" s="34"/>
      <c r="D37" s="34"/>
      <c r="E37" s="34"/>
      <c r="F37" s="34"/>
    </row>
    <row r="38" spans="1:6" s="13" customFormat="1">
      <c r="A38"/>
      <c r="B38"/>
      <c r="C38" s="35"/>
      <c r="D38" s="35"/>
      <c r="E38" s="35"/>
      <c r="F38" s="35"/>
    </row>
    <row r="39" spans="1:6">
      <c r="C39" s="35"/>
      <c r="D39" s="35"/>
      <c r="E39" s="35"/>
      <c r="F39" s="35"/>
    </row>
    <row r="40" spans="1:6">
      <c r="C40" s="35"/>
      <c r="D40" s="35"/>
      <c r="E40" s="35"/>
      <c r="F40" s="35"/>
    </row>
    <row r="41" spans="1:6">
      <c r="C41" s="35"/>
      <c r="D41" s="35"/>
      <c r="E41" s="35"/>
      <c r="F41" s="35"/>
    </row>
    <row r="42" spans="1:6">
      <c r="C42" s="35"/>
      <c r="D42" s="35"/>
      <c r="E42" s="35"/>
      <c r="F42" s="35"/>
    </row>
    <row r="43" spans="1:6">
      <c r="C43" s="35"/>
      <c r="D43" s="35"/>
      <c r="E43" s="35"/>
      <c r="F43" s="35"/>
    </row>
    <row r="44" spans="1:6">
      <c r="C44" s="35"/>
      <c r="D44" s="35"/>
      <c r="E44" s="35"/>
      <c r="F44" s="35"/>
    </row>
    <row r="45" spans="1:6">
      <c r="C45" s="35"/>
      <c r="D45" s="35"/>
      <c r="E45" s="35"/>
      <c r="F45" s="35"/>
    </row>
    <row r="46" spans="1:6">
      <c r="C46" s="35"/>
      <c r="D46" s="35"/>
      <c r="E46" s="35"/>
      <c r="F46" s="35"/>
    </row>
    <row r="47" spans="1:6">
      <c r="C47" s="35"/>
      <c r="D47" s="35"/>
      <c r="E47" s="35"/>
      <c r="F47" s="35"/>
    </row>
    <row r="48" spans="1:6">
      <c r="C48" s="35"/>
      <c r="D48" s="35"/>
      <c r="E48" s="35"/>
      <c r="F48" s="35"/>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7"/>
  <sheetViews>
    <sheetView workbookViewId="0">
      <selection activeCell="A7" sqref="A7"/>
    </sheetView>
  </sheetViews>
  <sheetFormatPr defaultRowHeight="18.75"/>
  <cols>
    <col min="2" max="2" width="36" customWidth="1"/>
    <col min="6" max="6" width="11.296875" bestFit="1" customWidth="1"/>
  </cols>
  <sheetData>
    <row r="1" spans="1:6" ht="20.25">
      <c r="A1" s="271" t="s">
        <v>50</v>
      </c>
      <c r="B1" s="228"/>
      <c r="C1" s="228"/>
      <c r="D1" s="228"/>
      <c r="E1" s="228"/>
      <c r="F1" s="229"/>
    </row>
    <row r="2" spans="1:6" ht="18" customHeight="1">
      <c r="A2" s="219" t="s">
        <v>51</v>
      </c>
      <c r="B2" s="220"/>
      <c r="C2" s="220"/>
      <c r="D2" s="220"/>
      <c r="E2" s="220"/>
      <c r="F2" s="221"/>
    </row>
    <row r="3" spans="1:6" ht="32.450000000000003" customHeight="1">
      <c r="A3" s="307" t="str">
        <f>[15]ESTIMATE!A2</f>
        <v>Name of Work :-CONSTRUCTION OF PCC R0AD AT OBRIA ROAD AT P.C.C. MAIN ROAD TO HOUSE OF MANISH KUMAR UNDER WARD NO-52</v>
      </c>
      <c r="B3" s="308"/>
      <c r="C3" s="308"/>
      <c r="D3" s="308"/>
      <c r="E3" s="308"/>
      <c r="F3" s="309"/>
    </row>
    <row r="4" spans="1:6" ht="31.5">
      <c r="A4" s="161" t="s">
        <v>52</v>
      </c>
      <c r="B4" s="162" t="s">
        <v>39</v>
      </c>
      <c r="C4" s="162" t="s">
        <v>5</v>
      </c>
      <c r="D4" s="162" t="s">
        <v>6</v>
      </c>
      <c r="E4" s="161" t="s">
        <v>53</v>
      </c>
      <c r="F4" s="161" t="s">
        <v>54</v>
      </c>
    </row>
    <row r="5" spans="1:6" ht="31.5">
      <c r="A5" s="161">
        <f>[15]ESTIMATE!A4</f>
        <v>1</v>
      </c>
      <c r="B5" s="165" t="str">
        <f>[15]ESTIMATE!B4</f>
        <v>Labour for site clearence before and after the work etc.</v>
      </c>
      <c r="C5" s="166">
        <f>[15]ESTIMATE!G4</f>
        <v>5</v>
      </c>
      <c r="D5" s="167" t="str">
        <f>[15]ESTIMATE!H4</f>
        <v>No.</v>
      </c>
      <c r="E5" s="166">
        <f>[15]ESTIMATE!I4</f>
        <v>326.85000000000002</v>
      </c>
      <c r="F5" s="166">
        <f t="shared" ref="F5:F10" si="0">ROUND(C5*E5,2)</f>
        <v>1634.25</v>
      </c>
    </row>
    <row r="6" spans="1:6" ht="110.25">
      <c r="A6" s="161" t="str">
        <f>[15]ESTIMATE!A5</f>
        <v>2       5.1.1.</v>
      </c>
      <c r="B6" s="165" t="str">
        <f>[15]ESTIMATE!B5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166">
        <f>[15]ESTIMATE!G8</f>
        <v>68.31</v>
      </c>
      <c r="D6" s="167" t="s">
        <v>11</v>
      </c>
      <c r="E6" s="166">
        <f>[15]ESTIMATE!I8</f>
        <v>151.82</v>
      </c>
      <c r="F6" s="166">
        <f t="shared" si="0"/>
        <v>10370.82</v>
      </c>
    </row>
    <row r="7" spans="1:6" ht="126">
      <c r="A7" s="161" t="str">
        <f>[15]ESTIMATE!A9</f>
        <v>3.           M-004</v>
      </c>
      <c r="B7" s="165" t="str">
        <f>[15]ESTIMATE!B9</f>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
      <c r="C7" s="166">
        <f>[15]ESTIMATE!G12</f>
        <v>25.49</v>
      </c>
      <c r="D7" s="167" t="s">
        <v>11</v>
      </c>
      <c r="E7" s="166">
        <f>[15]ESTIMATE!I12</f>
        <v>347.85</v>
      </c>
      <c r="F7" s="166">
        <f t="shared" si="0"/>
        <v>8866.7000000000007</v>
      </c>
    </row>
    <row r="8" spans="1:6" ht="78.75">
      <c r="A8" s="161" t="str">
        <f>[15]ESTIMATE!A13</f>
        <v>4.       5.6.8 (C.I.W.)</v>
      </c>
      <c r="B8" s="165" t="str">
        <f>[15]ESTIMATE!B13</f>
        <v>Supplying and laying (properly as per design and drawing )rip-rap with good quality of boulders duly packed including the cost of materials,royalty all taxes etc.but excluding the cost of carriage, all complete as per specification and direction of E/I.</v>
      </c>
      <c r="C8" s="166">
        <f>[15]ESTIMATE!G16</f>
        <v>42.82</v>
      </c>
      <c r="D8" s="167" t="s">
        <v>11</v>
      </c>
      <c r="E8" s="166">
        <f>[15]ESTIMATE!I16</f>
        <v>1756.4</v>
      </c>
      <c r="F8" s="166">
        <f t="shared" si="0"/>
        <v>75209.05</v>
      </c>
    </row>
    <row r="9" spans="1:6" ht="65.099999999999994" customHeight="1">
      <c r="A9" s="161" t="str">
        <f>[15]ESTIMATE!A17</f>
        <v>5.     5.3.1.1</v>
      </c>
      <c r="B9" s="168" t="str">
        <f>[15]ESTIMATE!B17</f>
        <v xml:space="preserve">Providing and laying in position cement concrete of specified grade excluding the cost of centering and shuttering- All work upto plinth level : 1:1½:3 (1 cemet : 1½ coarse sand (zone-iii) : 3 graded stone aggregate 20mm nominal size )  </v>
      </c>
      <c r="C9" s="166">
        <f>[15]ESTIMATE!G20</f>
        <v>50.98</v>
      </c>
      <c r="D9" s="167" t="s">
        <v>11</v>
      </c>
      <c r="E9" s="166">
        <f>[15]ESTIMATE!I20</f>
        <v>4961.7299999999996</v>
      </c>
      <c r="F9" s="166">
        <f t="shared" si="0"/>
        <v>252949</v>
      </c>
    </row>
    <row r="10" spans="1:6" ht="47.25">
      <c r="A10" s="161" t="str">
        <f>[15]ESTIMATE!A21</f>
        <v>6               5.3.17.1</v>
      </c>
      <c r="B10" s="165" t="str">
        <f>[15]ESTIMATE!B21</f>
        <v>Centering and shuttering including strutting, propping etc. and removal of from for Foundations, footings, bases of columns, etc. for mass concrete.</v>
      </c>
      <c r="C10" s="166">
        <f>[15]ESTIMATE!G24</f>
        <v>33.46</v>
      </c>
      <c r="D10" s="169" t="s">
        <v>20</v>
      </c>
      <c r="E10" s="161">
        <f>[15]ESTIMATE!I24</f>
        <v>194.5</v>
      </c>
      <c r="F10" s="170">
        <f t="shared" si="0"/>
        <v>6507.97</v>
      </c>
    </row>
    <row r="11" spans="1:6">
      <c r="A11" s="161">
        <f>[15]ESTIMATE!A25</f>
        <v>7</v>
      </c>
      <c r="B11" s="171" t="s">
        <v>21</v>
      </c>
      <c r="C11" s="167"/>
      <c r="D11" s="172"/>
      <c r="E11" s="173"/>
      <c r="F11" s="166"/>
    </row>
    <row r="12" spans="1:6">
      <c r="A12" s="174" t="s">
        <v>22</v>
      </c>
      <c r="B12" s="175" t="str">
        <f>[15]ESTIMATE!B26</f>
        <v>SAND-LEAD-42KM</v>
      </c>
      <c r="C12" s="167">
        <f>PRODUCT('[15]MATERIAL '!F7)</f>
        <v>21.92</v>
      </c>
      <c r="D12" s="172" t="s">
        <v>11</v>
      </c>
      <c r="E12" s="39">
        <f>[15]ESTIMATE!I26</f>
        <v>744.66</v>
      </c>
      <c r="F12" s="166">
        <f t="shared" ref="F12:F16" si="1">ROUND(C12*E12,2)</f>
        <v>16322.95</v>
      </c>
    </row>
    <row r="13" spans="1:6">
      <c r="A13" s="174" t="s">
        <v>24</v>
      </c>
      <c r="B13" s="177" t="str">
        <f>[15]ESTIMATE!B27</f>
        <v>STONE DUST-LEAD-15KM</v>
      </c>
      <c r="C13" s="167">
        <f>PRODUCT('[15]MATERIAL '!G7)</f>
        <v>25.49</v>
      </c>
      <c r="D13" s="172" t="s">
        <v>11</v>
      </c>
      <c r="E13" s="176">
        <f>[15]ESTIMATE!I27</f>
        <v>342.9</v>
      </c>
      <c r="F13" s="166">
        <f t="shared" si="1"/>
        <v>8740.52</v>
      </c>
    </row>
    <row r="14" spans="1:6">
      <c r="A14" s="174" t="s">
        <v>26</v>
      </c>
      <c r="B14" s="177" t="str">
        <f>[15]ESTIMATE!B28</f>
        <v>STONE CHIPS-LEAD-15KM</v>
      </c>
      <c r="C14" s="167">
        <f>PRODUCT('[15]MATERIAL '!H7)</f>
        <v>43.84</v>
      </c>
      <c r="D14" s="172" t="s">
        <v>11</v>
      </c>
      <c r="E14" s="176">
        <f>[15]ESTIMATE!I28</f>
        <v>342.9</v>
      </c>
      <c r="F14" s="166">
        <f t="shared" si="1"/>
        <v>15032.74</v>
      </c>
    </row>
    <row r="15" spans="1:6">
      <c r="A15" s="174" t="s">
        <v>28</v>
      </c>
      <c r="B15" s="177" t="str">
        <f>[15]ESTIMATE!B29</f>
        <v>BOULDER-LEAD-29KM</v>
      </c>
      <c r="C15" s="167">
        <f>PRODUCT('[15]MATERIAL '!I7)</f>
        <v>42.82</v>
      </c>
      <c r="D15" s="172" t="s">
        <v>11</v>
      </c>
      <c r="E15" s="39">
        <f>[15]ESTIMATE!I29</f>
        <v>570.94000000000005</v>
      </c>
      <c r="F15" s="166">
        <f t="shared" si="1"/>
        <v>24447.65</v>
      </c>
    </row>
    <row r="16" spans="1:6">
      <c r="A16" s="174" t="s">
        <v>30</v>
      </c>
      <c r="B16" s="165" t="str">
        <f>[15]ESTIMATE!B30</f>
        <v>EARTH-LEAD-01km</v>
      </c>
      <c r="C16" s="167">
        <f>PRODUCT('[15]MATERIAL '!J7)</f>
        <v>68.31</v>
      </c>
      <c r="D16" s="172" t="s">
        <v>11</v>
      </c>
      <c r="E16" s="176">
        <f>[15]ESTIMATE!I30</f>
        <v>117.54</v>
      </c>
      <c r="F16" s="166">
        <f t="shared" si="1"/>
        <v>8029.16</v>
      </c>
    </row>
    <row r="17" spans="1:6">
      <c r="A17" s="178"/>
      <c r="B17" s="178"/>
      <c r="C17" s="276" t="s">
        <v>46</v>
      </c>
      <c r="D17" s="276"/>
      <c r="E17" s="276"/>
      <c r="F17" s="191">
        <f>SUM(F5:F16)</f>
        <v>428110.81</v>
      </c>
    </row>
    <row r="18" spans="1:6">
      <c r="A18" s="178"/>
      <c r="B18" s="178"/>
      <c r="C18" s="276" t="s">
        <v>47</v>
      </c>
      <c r="D18" s="276"/>
      <c r="E18" s="276"/>
      <c r="F18" s="191">
        <f>F17*18%</f>
        <v>77059.945800000001</v>
      </c>
    </row>
    <row r="19" spans="1:6">
      <c r="A19" s="178"/>
      <c r="B19" s="178"/>
      <c r="C19" s="276" t="s">
        <v>46</v>
      </c>
      <c r="D19" s="276"/>
      <c r="E19" s="276"/>
      <c r="F19" s="191">
        <f>SUM(F17:F18)</f>
        <v>505170.75579999998</v>
      </c>
    </row>
    <row r="20" spans="1:6">
      <c r="A20" s="178"/>
      <c r="B20" s="178"/>
      <c r="C20" s="276" t="s">
        <v>48</v>
      </c>
      <c r="D20" s="276"/>
      <c r="E20" s="276"/>
      <c r="F20" s="191">
        <f>ROUND(F19*0.01,2)</f>
        <v>5051.71</v>
      </c>
    </row>
    <row r="21" spans="1:6">
      <c r="A21" s="178"/>
      <c r="B21" s="178"/>
      <c r="C21" s="276" t="s">
        <v>32</v>
      </c>
      <c r="D21" s="276"/>
      <c r="E21" s="276"/>
      <c r="F21" s="191">
        <f>SUM(F19:F20)</f>
        <v>510222.46580000001</v>
      </c>
    </row>
    <row r="22" spans="1:6">
      <c r="A22" s="178"/>
      <c r="B22" s="178"/>
      <c r="C22" s="276" t="s">
        <v>186</v>
      </c>
      <c r="D22" s="276"/>
      <c r="E22" s="276"/>
      <c r="F22" s="180">
        <v>510200</v>
      </c>
    </row>
    <row r="23" spans="1:6">
      <c r="A23" s="210"/>
      <c r="B23" s="210"/>
      <c r="C23" s="211"/>
      <c r="D23" s="211"/>
      <c r="E23" s="211"/>
      <c r="F23" s="212"/>
    </row>
    <row r="24" spans="1:6">
      <c r="A24" s="184"/>
    </row>
    <row r="25" spans="1:6">
      <c r="A25" s="184"/>
    </row>
    <row r="26" spans="1:6">
      <c r="A26" s="184"/>
      <c r="B26" s="185" t="s">
        <v>170</v>
      </c>
      <c r="C26" s="186" t="s">
        <v>171</v>
      </c>
      <c r="F26" s="187" t="s">
        <v>62</v>
      </c>
    </row>
    <row r="27" spans="1:6">
      <c r="A27" s="184"/>
      <c r="B27" s="185" t="s">
        <v>63</v>
      </c>
      <c r="C27" s="186" t="s">
        <v>172</v>
      </c>
      <c r="F27" s="187" t="s">
        <v>63</v>
      </c>
    </row>
  </sheetData>
  <mergeCells count="9">
    <mergeCell ref="C19:E19"/>
    <mergeCell ref="C20:E20"/>
    <mergeCell ref="C21:E21"/>
    <mergeCell ref="C22:E22"/>
    <mergeCell ref="A1:F1"/>
    <mergeCell ref="A2:F2"/>
    <mergeCell ref="A3:F3"/>
    <mergeCell ref="C17:E17"/>
    <mergeCell ref="C18:E1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6.19921875" style="110" customWidth="1"/>
    <col min="2" max="2" width="30" style="111" customWidth="1"/>
    <col min="3" max="3" width="9.59765625" style="103" bestFit="1" customWidth="1"/>
    <col min="4" max="4" width="8.796875" style="112"/>
    <col min="5" max="5" width="8.5" style="103" customWidth="1"/>
    <col min="6" max="6" width="11.5" style="113" customWidth="1"/>
    <col min="7" max="7" width="15.5" style="103" hidden="1" customWidth="1"/>
    <col min="8" max="16384" width="8.796875" style="103"/>
  </cols>
  <sheetData>
    <row r="1" spans="1:6" ht="18.75">
      <c r="A1" s="223" t="s">
        <v>50</v>
      </c>
      <c r="B1" s="223"/>
      <c r="C1" s="223"/>
      <c r="D1" s="223"/>
      <c r="E1" s="223"/>
      <c r="F1" s="223"/>
    </row>
    <row r="2" spans="1:6" ht="18.75">
      <c r="A2" s="223" t="s">
        <v>81</v>
      </c>
      <c r="B2" s="223"/>
      <c r="C2" s="223"/>
      <c r="D2" s="223"/>
      <c r="E2" s="223"/>
      <c r="F2" s="223"/>
    </row>
    <row r="3" spans="1:6" ht="47.25" customHeight="1">
      <c r="A3" s="224" t="s">
        <v>82</v>
      </c>
      <c r="B3" s="224"/>
      <c r="C3" s="224"/>
      <c r="D3" s="224"/>
      <c r="E3" s="224"/>
      <c r="F3" s="224"/>
    </row>
    <row r="4" spans="1:6">
      <c r="A4" s="104" t="s">
        <v>83</v>
      </c>
      <c r="B4" s="104" t="s">
        <v>84</v>
      </c>
      <c r="C4" s="104" t="s">
        <v>85</v>
      </c>
      <c r="D4" s="104" t="s">
        <v>6</v>
      </c>
      <c r="E4" s="104" t="s">
        <v>86</v>
      </c>
      <c r="F4" s="104" t="s">
        <v>87</v>
      </c>
    </row>
    <row r="5" spans="1:6" ht="30">
      <c r="A5" s="105">
        <v>1</v>
      </c>
      <c r="B5" s="106" t="s">
        <v>88</v>
      </c>
      <c r="C5" s="106">
        <v>7</v>
      </c>
      <c r="D5" s="106" t="s">
        <v>43</v>
      </c>
      <c r="E5" s="106">
        <v>326.85000000000002</v>
      </c>
      <c r="F5" s="106">
        <f>C5*E5</f>
        <v>2287.9500000000003</v>
      </c>
    </row>
    <row r="6" spans="1:6" ht="165">
      <c r="A6" s="106" t="s">
        <v>89</v>
      </c>
      <c r="B6" s="106" t="s">
        <v>90</v>
      </c>
      <c r="C6" s="106">
        <v>70.209999999999994</v>
      </c>
      <c r="D6" s="106" t="s">
        <v>91</v>
      </c>
      <c r="E6" s="106">
        <v>151.82</v>
      </c>
      <c r="F6" s="106">
        <f t="shared" ref="F6:F16" si="0">C6*E6</f>
        <v>10659.282199999998</v>
      </c>
    </row>
    <row r="7" spans="1:6" ht="120">
      <c r="A7" s="106" t="s">
        <v>92</v>
      </c>
      <c r="B7" s="106" t="s">
        <v>93</v>
      </c>
      <c r="C7" s="106">
        <v>17.809999999999999</v>
      </c>
      <c r="D7" s="106" t="s">
        <v>91</v>
      </c>
      <c r="E7" s="106">
        <v>347.85</v>
      </c>
      <c r="F7" s="106">
        <f t="shared" si="0"/>
        <v>6195.2084999999997</v>
      </c>
    </row>
    <row r="8" spans="1:6" ht="90">
      <c r="A8" s="106" t="s">
        <v>94</v>
      </c>
      <c r="B8" s="106" t="s">
        <v>95</v>
      </c>
      <c r="C8" s="106">
        <v>44.01</v>
      </c>
      <c r="D8" s="106" t="s">
        <v>91</v>
      </c>
      <c r="E8" s="106">
        <v>1756.4</v>
      </c>
      <c r="F8" s="106">
        <f t="shared" si="0"/>
        <v>77299.164000000004</v>
      </c>
    </row>
    <row r="9" spans="1:6" ht="90">
      <c r="A9" s="106" t="s">
        <v>96</v>
      </c>
      <c r="B9" s="106" t="s">
        <v>97</v>
      </c>
      <c r="C9" s="106">
        <v>52.39</v>
      </c>
      <c r="D9" s="106" t="s">
        <v>91</v>
      </c>
      <c r="E9" s="106">
        <v>4961.7299999999996</v>
      </c>
      <c r="F9" s="106">
        <f t="shared" si="0"/>
        <v>259945.03469999999</v>
      </c>
    </row>
    <row r="10" spans="1:6" ht="60">
      <c r="A10" s="106" t="s">
        <v>98</v>
      </c>
      <c r="B10" s="106" t="s">
        <v>99</v>
      </c>
      <c r="C10" s="106">
        <v>18.59</v>
      </c>
      <c r="D10" s="106" t="s">
        <v>100</v>
      </c>
      <c r="E10" s="106">
        <v>194.5</v>
      </c>
      <c r="F10" s="106">
        <f t="shared" si="0"/>
        <v>3615.7550000000001</v>
      </c>
    </row>
    <row r="11" spans="1:6">
      <c r="A11" s="106">
        <v>7</v>
      </c>
      <c r="B11" s="106" t="s">
        <v>101</v>
      </c>
      <c r="C11" s="106"/>
      <c r="D11" s="106"/>
      <c r="E11" s="106"/>
      <c r="F11" s="106"/>
    </row>
    <row r="12" spans="1:6">
      <c r="A12" s="106" t="s">
        <v>102</v>
      </c>
      <c r="B12" s="106" t="s">
        <v>103</v>
      </c>
      <c r="C12" s="106">
        <v>22.53</v>
      </c>
      <c r="D12" s="106" t="s">
        <v>91</v>
      </c>
      <c r="E12" s="106">
        <v>744.66</v>
      </c>
      <c r="F12" s="106">
        <f t="shared" si="0"/>
        <v>16777.1898</v>
      </c>
    </row>
    <row r="13" spans="1:6">
      <c r="A13" s="106" t="s">
        <v>104</v>
      </c>
      <c r="B13" s="106" t="s">
        <v>105</v>
      </c>
      <c r="C13" s="106">
        <v>17.809999999999999</v>
      </c>
      <c r="D13" s="106" t="s">
        <v>91</v>
      </c>
      <c r="E13" s="106">
        <v>342.9</v>
      </c>
      <c r="F13" s="106">
        <f t="shared" si="0"/>
        <v>6107.0489999999991</v>
      </c>
    </row>
    <row r="14" spans="1:6">
      <c r="A14" s="106" t="s">
        <v>106</v>
      </c>
      <c r="B14" s="106" t="s">
        <v>107</v>
      </c>
      <c r="C14" s="106">
        <v>45.06</v>
      </c>
      <c r="D14" s="106" t="s">
        <v>91</v>
      </c>
      <c r="E14" s="106">
        <v>342.9</v>
      </c>
      <c r="F14" s="106">
        <f t="shared" si="0"/>
        <v>15451.074000000001</v>
      </c>
    </row>
    <row r="15" spans="1:6">
      <c r="A15" s="106" t="s">
        <v>108</v>
      </c>
      <c r="B15" s="106" t="s">
        <v>109</v>
      </c>
      <c r="C15" s="106">
        <v>44.01</v>
      </c>
      <c r="D15" s="106" t="s">
        <v>91</v>
      </c>
      <c r="E15" s="106">
        <v>570.94000000000005</v>
      </c>
      <c r="F15" s="106">
        <f t="shared" si="0"/>
        <v>25127.0694</v>
      </c>
    </row>
    <row r="16" spans="1:6">
      <c r="A16" s="106" t="s">
        <v>110</v>
      </c>
      <c r="B16" s="106" t="s">
        <v>111</v>
      </c>
      <c r="C16" s="106">
        <v>70.209999999999994</v>
      </c>
      <c r="D16" s="106" t="s">
        <v>91</v>
      </c>
      <c r="E16" s="106">
        <v>117.54</v>
      </c>
      <c r="F16" s="106">
        <f t="shared" si="0"/>
        <v>8252.4833999999992</v>
      </c>
    </row>
    <row r="17" spans="1:6">
      <c r="A17" s="106"/>
      <c r="B17" s="106"/>
      <c r="C17" s="106"/>
      <c r="D17" s="106"/>
      <c r="E17" s="106" t="s">
        <v>32</v>
      </c>
      <c r="F17" s="106">
        <f>SUM(F5:F16)</f>
        <v>431717.26</v>
      </c>
    </row>
    <row r="18" spans="1:6">
      <c r="A18" s="107"/>
      <c r="B18" s="108"/>
      <c r="C18" s="109"/>
      <c r="D18" s="105"/>
      <c r="E18" s="106" t="s">
        <v>112</v>
      </c>
      <c r="F18" s="106">
        <f>F17*18/100</f>
        <v>77709.106799999994</v>
      </c>
    </row>
    <row r="19" spans="1:6">
      <c r="A19" s="107"/>
      <c r="B19" s="108"/>
      <c r="C19" s="109"/>
      <c r="D19" s="105"/>
      <c r="E19" s="106" t="s">
        <v>32</v>
      </c>
      <c r="F19" s="106">
        <f>F18+F17</f>
        <v>509426.36680000002</v>
      </c>
    </row>
    <row r="20" spans="1:6">
      <c r="A20" s="107"/>
      <c r="B20" s="108"/>
      <c r="C20" s="109"/>
      <c r="D20" s="105"/>
      <c r="E20" s="106" t="s">
        <v>113</v>
      </c>
      <c r="F20" s="106">
        <f>F19*1/100</f>
        <v>5094.2636680000005</v>
      </c>
    </row>
    <row r="21" spans="1:6">
      <c r="A21" s="107"/>
      <c r="B21" s="108"/>
      <c r="C21" s="109"/>
      <c r="D21" s="105"/>
      <c r="E21" s="106" t="s">
        <v>32</v>
      </c>
      <c r="F21" s="106">
        <f>F20+F19</f>
        <v>514520.63046800002</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25"/>
  <sheetViews>
    <sheetView workbookViewId="0">
      <selection activeCell="B3" sqref="B3:F3"/>
    </sheetView>
  </sheetViews>
  <sheetFormatPr defaultRowHeight="18.75"/>
  <cols>
    <col min="1" max="1" width="5.59765625" customWidth="1"/>
    <col min="2" max="2" width="42.69921875" customWidth="1"/>
    <col min="3" max="3" width="8.796875" bestFit="1" customWidth="1"/>
    <col min="4" max="4" width="3.69921875" customWidth="1"/>
    <col min="5" max="5" width="8.3984375" bestFit="1" customWidth="1"/>
    <col min="6" max="6" width="8.69921875" customWidth="1"/>
  </cols>
  <sheetData>
    <row r="1" spans="1:11" ht="20.25">
      <c r="A1" s="114"/>
      <c r="B1" s="228" t="s">
        <v>50</v>
      </c>
      <c r="C1" s="228"/>
      <c r="D1" s="228"/>
      <c r="E1" s="228"/>
      <c r="F1" s="229"/>
    </row>
    <row r="2" spans="1:11" ht="20.25">
      <c r="A2" s="114"/>
      <c r="B2" s="230" t="s">
        <v>1</v>
      </c>
      <c r="C2" s="230"/>
      <c r="D2" s="230"/>
      <c r="E2" s="230"/>
      <c r="F2" s="231"/>
    </row>
    <row r="3" spans="1:11" ht="33.75" customHeight="1">
      <c r="A3" s="114"/>
      <c r="B3" s="232" t="str">
        <f>[3]Sheet1!B2</f>
        <v>NAME OF WORK:-Construction of RCC drain From Aughad Bhagwan Ram Ashram To Phool Baba Ashram Under Ward No. 21.</v>
      </c>
      <c r="C3" s="232"/>
      <c r="D3" s="232"/>
      <c r="E3" s="232"/>
      <c r="F3" s="233"/>
    </row>
    <row r="4" spans="1:11" ht="25.5">
      <c r="A4" s="115" t="s">
        <v>83</v>
      </c>
      <c r="B4" s="68" t="s">
        <v>114</v>
      </c>
      <c r="C4" s="68" t="s">
        <v>85</v>
      </c>
      <c r="D4" s="68" t="s">
        <v>6</v>
      </c>
      <c r="E4" s="68" t="s">
        <v>86</v>
      </c>
      <c r="F4" s="68" t="s">
        <v>87</v>
      </c>
      <c r="K4">
        <f>150*3.28</f>
        <v>491.99999999999994</v>
      </c>
    </row>
    <row r="5" spans="1:11" ht="27">
      <c r="A5" s="116" t="s">
        <v>115</v>
      </c>
      <c r="B5" s="68" t="str">
        <f>[3]Sheet1!B4</f>
        <v>Dismentalling of Plain Cement Concrete and………..Do…..E/I.</v>
      </c>
      <c r="C5" s="117">
        <f>[3]Sheet1!G7</f>
        <v>5.1732276031341442</v>
      </c>
      <c r="D5" s="68" t="s">
        <v>116</v>
      </c>
      <c r="E5" s="117">
        <v>955.89</v>
      </c>
      <c r="F5" s="117">
        <f>ROUND(C5*E5,2)</f>
        <v>4945.04</v>
      </c>
    </row>
    <row r="6" spans="1:11" ht="108">
      <c r="A6" s="116" t="s">
        <v>117</v>
      </c>
      <c r="B6" s="118" t="s">
        <v>90</v>
      </c>
      <c r="C6" s="117">
        <f>[3]Sheet1!G12</f>
        <v>36.159728122344944</v>
      </c>
      <c r="D6" s="119" t="s">
        <v>91</v>
      </c>
      <c r="E6" s="119">
        <f>[3]Sheet1!I12</f>
        <v>167.33</v>
      </c>
      <c r="F6" s="117">
        <f t="shared" ref="F6:F20" si="0">ROUND(C6*E6,2)</f>
        <v>6050.61</v>
      </c>
    </row>
    <row r="7" spans="1:11" ht="76.5">
      <c r="A7" s="116" t="str">
        <f>[3]Sheet1!A13</f>
        <v>BCD SOR 5.1.10</v>
      </c>
      <c r="B7" s="120" t="s">
        <v>13</v>
      </c>
      <c r="C7" s="68">
        <f>[3]Sheet1!G17</f>
        <v>3.4</v>
      </c>
      <c r="D7" s="68" t="s">
        <v>91</v>
      </c>
      <c r="E7" s="68">
        <v>589.51</v>
      </c>
      <c r="F7" s="117">
        <f t="shared" si="0"/>
        <v>2004.33</v>
      </c>
    </row>
    <row r="8" spans="1:11" ht="63.75">
      <c r="A8" s="116" t="s">
        <v>118</v>
      </c>
      <c r="B8" s="121" t="s">
        <v>95</v>
      </c>
      <c r="C8" s="68">
        <f>[3]Sheet1!G22</f>
        <v>5.67</v>
      </c>
      <c r="D8" s="68" t="s">
        <v>91</v>
      </c>
      <c r="E8" s="122">
        <v>1756.4</v>
      </c>
      <c r="F8" s="117">
        <f t="shared" si="0"/>
        <v>9958.7900000000009</v>
      </c>
    </row>
    <row r="9" spans="1:11" ht="76.5">
      <c r="A9" s="116" t="str">
        <f>[3]Sheet1!A23</f>
        <v>5.    5.3.10</v>
      </c>
      <c r="B9" s="123" t="str">
        <f>[3]Sheet1!B23</f>
        <v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v>
      </c>
      <c r="C9" s="124">
        <f>[3]Sheet1!G29</f>
        <v>20.85</v>
      </c>
      <c r="D9" s="68" t="s">
        <v>91</v>
      </c>
      <c r="E9" s="122">
        <v>6082.45</v>
      </c>
      <c r="F9" s="117">
        <f t="shared" si="0"/>
        <v>126819.08</v>
      </c>
    </row>
    <row r="10" spans="1:11" ht="102">
      <c r="A10" s="125" t="str">
        <f>[3]Sheet1!A30</f>
        <v>6. 5.3.11</v>
      </c>
      <c r="B10" s="126" t="str">
        <f>[3]Sheet1!B30</f>
        <v xml:space="preserve"> 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v>
      </c>
      <c r="C10" s="124">
        <f>[3]Sheet1!G34</f>
        <v>6.8</v>
      </c>
      <c r="D10" s="68" t="s">
        <v>91</v>
      </c>
      <c r="E10" s="127">
        <v>6308.87</v>
      </c>
      <c r="F10" s="128">
        <f t="shared" ref="F10" si="1">ROUND(E10*C10,0)</f>
        <v>42900</v>
      </c>
    </row>
    <row r="11" spans="1:11" ht="63.75">
      <c r="A11" s="125" t="s">
        <v>119</v>
      </c>
      <c r="B11" s="126" t="s">
        <v>120</v>
      </c>
      <c r="C11" s="129"/>
      <c r="D11" s="68"/>
      <c r="E11" s="68"/>
      <c r="F11" s="117"/>
    </row>
    <row r="12" spans="1:11" ht="25.5">
      <c r="A12" s="130"/>
      <c r="B12" s="131" t="s">
        <v>121</v>
      </c>
      <c r="C12" s="129">
        <f>[3]Sheet1!G39</f>
        <v>3.4159999999999999</v>
      </c>
      <c r="D12" s="68" t="s">
        <v>122</v>
      </c>
      <c r="E12" s="68">
        <v>80879.070000000007</v>
      </c>
      <c r="F12" s="117">
        <f t="shared" si="0"/>
        <v>276282.90000000002</v>
      </c>
    </row>
    <row r="13" spans="1:11" ht="40.5">
      <c r="A13" s="116" t="s">
        <v>123</v>
      </c>
      <c r="B13" s="132" t="s">
        <v>124</v>
      </c>
      <c r="C13" s="133"/>
      <c r="D13" s="134"/>
      <c r="E13" s="133"/>
      <c r="F13" s="117"/>
    </row>
    <row r="14" spans="1:11" ht="25.5">
      <c r="A14" s="116"/>
      <c r="B14" s="132" t="s">
        <v>125</v>
      </c>
      <c r="C14" s="133">
        <f>[3]Sheet1!G47</f>
        <v>102.94000000000001</v>
      </c>
      <c r="D14" s="134" t="s">
        <v>126</v>
      </c>
      <c r="E14" s="133">
        <v>194.5</v>
      </c>
      <c r="F14" s="117">
        <f t="shared" si="0"/>
        <v>20021.830000000002</v>
      </c>
    </row>
    <row r="15" spans="1:11">
      <c r="A15" s="125">
        <v>9</v>
      </c>
      <c r="B15" s="135" t="s">
        <v>101</v>
      </c>
      <c r="C15" s="136"/>
      <c r="D15" s="136"/>
      <c r="E15" s="136"/>
      <c r="F15" s="117"/>
    </row>
    <row r="16" spans="1:11">
      <c r="A16" s="137" t="s">
        <v>22</v>
      </c>
      <c r="B16" s="121" t="str">
        <f>[3]Sheet1!B49</f>
        <v>Sand  (Lead Upto 49 km)</v>
      </c>
      <c r="C16" s="136">
        <f>[3]Sheet2!F9</f>
        <v>12.32</v>
      </c>
      <c r="D16" s="138" t="s">
        <v>127</v>
      </c>
      <c r="E16" s="139">
        <f>[3]Sheet1!I49</f>
        <v>848.82</v>
      </c>
      <c r="F16" s="117">
        <f t="shared" si="0"/>
        <v>10457.459999999999</v>
      </c>
    </row>
    <row r="17" spans="1:6">
      <c r="A17" s="125" t="s">
        <v>24</v>
      </c>
      <c r="B17" s="121" t="str">
        <f>[3]Sheet1!B50</f>
        <v>LOCAL SAND (Lead 13 KM)</v>
      </c>
      <c r="C17" s="136">
        <f>[3]Sheet2!E9</f>
        <v>3.4</v>
      </c>
      <c r="D17" s="138" t="s">
        <v>127</v>
      </c>
      <c r="E17" s="140">
        <f>[3]Sheet1!I50</f>
        <v>417.3</v>
      </c>
      <c r="F17" s="117">
        <f t="shared" si="0"/>
        <v>1418.82</v>
      </c>
    </row>
    <row r="18" spans="1:6">
      <c r="A18" s="125" t="s">
        <v>26</v>
      </c>
      <c r="B18" s="121" t="str">
        <f>[3]Sheet1!B51</f>
        <v>Stone Boulder (Lead 36 KM)</v>
      </c>
      <c r="C18" s="141">
        <f>[3]Sheet2!H9</f>
        <v>5.67</v>
      </c>
      <c r="D18" s="138" t="s">
        <v>127</v>
      </c>
      <c r="E18" s="140">
        <f>[3]Sheet1!I51</f>
        <v>679.66</v>
      </c>
      <c r="F18" s="117">
        <f t="shared" si="0"/>
        <v>3853.67</v>
      </c>
    </row>
    <row r="19" spans="1:6">
      <c r="A19" s="125" t="s">
        <v>28</v>
      </c>
      <c r="B19" s="121" t="str">
        <f>[3]Sheet1!B52</f>
        <v>Stone Chips (Lead 22KM)</v>
      </c>
      <c r="C19" s="136">
        <f>[3]Sheet2!G9</f>
        <v>24.64</v>
      </c>
      <c r="D19" s="138" t="s">
        <v>127</v>
      </c>
      <c r="E19" s="140">
        <f>[3]Sheet1!I52</f>
        <v>447.06</v>
      </c>
      <c r="F19" s="117">
        <f t="shared" si="0"/>
        <v>11015.56</v>
      </c>
    </row>
    <row r="20" spans="1:6">
      <c r="A20" s="125" t="s">
        <v>30</v>
      </c>
      <c r="B20" s="121" t="str">
        <f>[3]Sheet1!B53</f>
        <v>Earth (Lead 01 KM)</v>
      </c>
      <c r="C20" s="142">
        <f>[3]Sheet2!I9</f>
        <v>36.159728122344944</v>
      </c>
      <c r="D20" s="138" t="s">
        <v>127</v>
      </c>
      <c r="E20" s="139">
        <f>[3]Sheet1!I53</f>
        <v>117.54</v>
      </c>
      <c r="F20" s="117">
        <f t="shared" si="0"/>
        <v>4250.21</v>
      </c>
    </row>
    <row r="21" spans="1:6">
      <c r="A21" s="143"/>
      <c r="B21" s="143"/>
      <c r="C21" s="143"/>
      <c r="D21" s="143"/>
      <c r="E21" s="143" t="s">
        <v>46</v>
      </c>
      <c r="F21" s="140">
        <f>SUM(F5:F20)</f>
        <v>519978.30000000005</v>
      </c>
    </row>
    <row r="22" spans="1:6">
      <c r="A22" s="234" t="s">
        <v>128</v>
      </c>
      <c r="B22" s="235"/>
      <c r="C22" s="235"/>
      <c r="D22" s="235"/>
      <c r="E22" s="236"/>
      <c r="F22" s="140">
        <f>F21*18%</f>
        <v>93596.094000000012</v>
      </c>
    </row>
    <row r="23" spans="1:6">
      <c r="A23" s="225" t="s">
        <v>129</v>
      </c>
      <c r="B23" s="226"/>
      <c r="C23" s="226"/>
      <c r="D23" s="226"/>
      <c r="E23" s="227"/>
      <c r="F23" s="140">
        <f>SUM(F21:F22)</f>
        <v>613574.39400000009</v>
      </c>
    </row>
    <row r="24" spans="1:6">
      <c r="A24" s="234" t="s">
        <v>130</v>
      </c>
      <c r="B24" s="235"/>
      <c r="C24" s="235"/>
      <c r="D24" s="235"/>
      <c r="E24" s="236"/>
      <c r="F24" s="144">
        <f>F23*1%</f>
        <v>6135.7439400000012</v>
      </c>
    </row>
    <row r="25" spans="1:6">
      <c r="A25" s="225" t="s">
        <v>129</v>
      </c>
      <c r="B25" s="226"/>
      <c r="C25" s="226"/>
      <c r="D25" s="226"/>
      <c r="E25" s="227"/>
      <c r="F25" s="145">
        <f>SUM(F23:F24)</f>
        <v>619710.13794000004</v>
      </c>
    </row>
  </sheetData>
  <mergeCells count="7">
    <mergeCell ref="A25:E25"/>
    <mergeCell ref="B1:F1"/>
    <mergeCell ref="B2:F2"/>
    <mergeCell ref="B3:F3"/>
    <mergeCell ref="A22:E22"/>
    <mergeCell ref="A23:E23"/>
    <mergeCell ref="A24:E2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8.75"/>
  <cols>
    <col min="1" max="1" width="5.59765625" customWidth="1"/>
    <col min="2" max="2" width="27.3984375" customWidth="1"/>
    <col min="5" max="5" width="7.796875" customWidth="1"/>
    <col min="6" max="6" width="11.296875" customWidth="1"/>
  </cols>
  <sheetData>
    <row r="1" spans="1:6" ht="36" customHeight="1">
      <c r="A1" s="243" t="s">
        <v>36</v>
      </c>
      <c r="B1" s="243"/>
      <c r="C1" s="243"/>
      <c r="D1" s="243"/>
      <c r="E1" s="243"/>
      <c r="F1" s="243"/>
    </row>
    <row r="2" spans="1:6" ht="21" customHeight="1">
      <c r="A2" s="244" t="s">
        <v>37</v>
      </c>
      <c r="B2" s="244"/>
      <c r="C2" s="244"/>
      <c r="D2" s="244"/>
      <c r="E2" s="244"/>
      <c r="F2" s="244"/>
    </row>
    <row r="3" spans="1:6" ht="39" customHeight="1">
      <c r="A3" s="245" t="str">
        <f>[4]ESTIMATE!A2</f>
        <v xml:space="preserve">Name of Work :-IMPROVEMENT OF PCC ROAD AT IMLI TOLA UNDER WARD NO. 23 </v>
      </c>
      <c r="B3" s="245"/>
      <c r="C3" s="245"/>
      <c r="D3" s="245"/>
      <c r="E3" s="245"/>
      <c r="F3" s="245"/>
    </row>
    <row r="4" spans="1:6" ht="30">
      <c r="A4" s="36" t="s">
        <v>38</v>
      </c>
      <c r="B4" s="37" t="s">
        <v>39</v>
      </c>
      <c r="C4" s="37" t="s">
        <v>5</v>
      </c>
      <c r="D4" s="37" t="s">
        <v>6</v>
      </c>
      <c r="E4" s="38" t="s">
        <v>40</v>
      </c>
      <c r="F4" s="39" t="s">
        <v>41</v>
      </c>
    </row>
    <row r="5" spans="1:6" ht="25.5">
      <c r="A5" s="36">
        <v>1</v>
      </c>
      <c r="B5" s="40" t="s">
        <v>42</v>
      </c>
      <c r="C5" s="41">
        <f>[4]ESTIMATE!G4</f>
        <v>2</v>
      </c>
      <c r="D5" s="42" t="s">
        <v>43</v>
      </c>
      <c r="E5" s="43">
        <f>[4]ESTIMATE!I4</f>
        <v>326.85000000000002</v>
      </c>
      <c r="F5" s="44">
        <f>ROUND(C5*E5,2)</f>
        <v>653.70000000000005</v>
      </c>
    </row>
    <row r="6" spans="1:6" ht="76.5">
      <c r="A6" s="36" t="str">
        <f>[4]ESTIMATE!A5</f>
        <v>2.     5.3.1.1</v>
      </c>
      <c r="B6" s="45" t="s">
        <v>44</v>
      </c>
      <c r="C6" s="41">
        <f>[4]ESTIMATE!G8</f>
        <v>31.22</v>
      </c>
      <c r="D6" s="42" t="s">
        <v>11</v>
      </c>
      <c r="E6" s="46">
        <f>[4]ESTIMATE!I8</f>
        <v>4961.7299999999996</v>
      </c>
      <c r="F6" s="44">
        <f>ROUND(C6*E6,2)</f>
        <v>154905.21</v>
      </c>
    </row>
    <row r="7" spans="1:6" ht="51">
      <c r="A7" s="36" t="str">
        <f>[4]ESTIMATE!A9</f>
        <v>3                 5.3.17.1</v>
      </c>
      <c r="B7" s="47" t="s">
        <v>19</v>
      </c>
      <c r="C7" s="48">
        <f>[4]ESTIMATE!G12</f>
        <v>19.52</v>
      </c>
      <c r="D7" s="49" t="s">
        <v>20</v>
      </c>
      <c r="E7" s="50">
        <f>[4]ESTIMATE!I12</f>
        <v>194.5</v>
      </c>
      <c r="F7" s="44">
        <f>ROUND(C7*E7,2)</f>
        <v>3796.64</v>
      </c>
    </row>
    <row r="8" spans="1:6">
      <c r="A8" s="36">
        <f>[4]ESTIMATE!A13</f>
        <v>4</v>
      </c>
      <c r="B8" s="51" t="s">
        <v>21</v>
      </c>
      <c r="C8" s="52"/>
      <c r="D8" s="52"/>
      <c r="E8" s="53"/>
      <c r="F8" s="44"/>
    </row>
    <row r="9" spans="1:6">
      <c r="A9" s="37" t="s">
        <v>22</v>
      </c>
      <c r="B9" s="54" t="s">
        <v>23</v>
      </c>
      <c r="C9" s="52">
        <f>'[4]MATERIAL '!F4</f>
        <v>13.42</v>
      </c>
      <c r="D9" s="52" t="s">
        <v>11</v>
      </c>
      <c r="E9" s="43">
        <f>[4]ESTIMATE!I14</f>
        <v>848.82</v>
      </c>
      <c r="F9" s="44">
        <f>ROUND(C9*E9,2)</f>
        <v>11391.16</v>
      </c>
    </row>
    <row r="10" spans="1:6">
      <c r="A10" s="37" t="s">
        <v>26</v>
      </c>
      <c r="B10" s="55" t="s">
        <v>45</v>
      </c>
      <c r="C10" s="52">
        <f>'[4]MATERIAL '!G4</f>
        <v>26.85</v>
      </c>
      <c r="D10" s="52" t="s">
        <v>11</v>
      </c>
      <c r="E10" s="43">
        <f>[4]ESTIMATE!I15</f>
        <v>447.06</v>
      </c>
      <c r="F10" s="44">
        <f>ROUND(C10*E10,2)</f>
        <v>12003.56</v>
      </c>
    </row>
    <row r="11" spans="1:6">
      <c r="A11" s="56"/>
      <c r="B11" s="57"/>
      <c r="C11" s="246" t="s">
        <v>46</v>
      </c>
      <c r="D11" s="247"/>
      <c r="E11" s="248"/>
      <c r="F11" s="44">
        <f>SUM(F5:F10)</f>
        <v>182750.27000000002</v>
      </c>
    </row>
    <row r="12" spans="1:6">
      <c r="A12" s="56"/>
      <c r="B12" s="57"/>
      <c r="C12" s="240" t="s">
        <v>47</v>
      </c>
      <c r="D12" s="241"/>
      <c r="E12" s="242"/>
      <c r="F12" s="44">
        <f>F11*18%</f>
        <v>32895.048600000002</v>
      </c>
    </row>
    <row r="13" spans="1:6">
      <c r="A13" s="56"/>
      <c r="B13" s="57"/>
      <c r="C13" s="246" t="s">
        <v>46</v>
      </c>
      <c r="D13" s="247"/>
      <c r="E13" s="248"/>
      <c r="F13" s="44">
        <f>SUM(F11+F12)</f>
        <v>215645.31860000003</v>
      </c>
    </row>
    <row r="14" spans="1:6">
      <c r="A14" s="56"/>
      <c r="B14" s="57"/>
      <c r="C14" s="237" t="s">
        <v>48</v>
      </c>
      <c r="D14" s="238"/>
      <c r="E14" s="239"/>
      <c r="F14" s="44">
        <f>F13*1%</f>
        <v>2156.4531860000002</v>
      </c>
    </row>
    <row r="15" spans="1:6">
      <c r="A15" s="56"/>
      <c r="B15" s="57"/>
      <c r="C15" s="240" t="s">
        <v>46</v>
      </c>
      <c r="D15" s="241"/>
      <c r="E15" s="242"/>
      <c r="F15" s="44">
        <f>SUM(F13:F14)</f>
        <v>217801.77178600003</v>
      </c>
    </row>
    <row r="16" spans="1:6">
      <c r="A16" s="56"/>
      <c r="B16" s="57"/>
      <c r="C16" s="240" t="s">
        <v>49</v>
      </c>
      <c r="D16" s="241"/>
      <c r="E16" s="242"/>
      <c r="F16" s="44">
        <v>217802</v>
      </c>
    </row>
    <row r="17" spans="1:6">
      <c r="A17" s="58"/>
      <c r="B17" s="59"/>
      <c r="C17" s="60"/>
      <c r="D17" s="60"/>
      <c r="E17" s="61"/>
      <c r="F17" s="62"/>
    </row>
    <row r="18" spans="1:6">
      <c r="A18" s="63"/>
      <c r="B18" s="64"/>
      <c r="C18" s="65"/>
      <c r="D18" s="65"/>
      <c r="E18" s="66"/>
      <c r="F18" s="62"/>
    </row>
    <row r="19" spans="1:6">
      <c r="A19" s="63"/>
      <c r="B19" s="64"/>
      <c r="C19" s="65"/>
      <c r="D19" s="65"/>
      <c r="E19" s="66"/>
      <c r="F19" s="62"/>
    </row>
    <row r="20" spans="1:6">
      <c r="A20" s="63"/>
      <c r="B20" s="67"/>
      <c r="C20" s="65"/>
      <c r="D20" s="65"/>
      <c r="E20" s="66"/>
      <c r="F20" s="63"/>
    </row>
    <row r="21" spans="1:6">
      <c r="A21" s="63"/>
      <c r="B21" s="67"/>
      <c r="C21" s="65"/>
      <c r="D21" s="65"/>
      <c r="E21" s="66"/>
      <c r="F21" s="63"/>
    </row>
  </sheetData>
  <mergeCells count="9">
    <mergeCell ref="C14:E14"/>
    <mergeCell ref="C15:E15"/>
    <mergeCell ref="C16:E16"/>
    <mergeCell ref="A1:F1"/>
    <mergeCell ref="A2:F2"/>
    <mergeCell ref="A3:F3"/>
    <mergeCell ref="C11:E11"/>
    <mergeCell ref="C12:E12"/>
    <mergeCell ref="C13:E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F34"/>
  <sheetViews>
    <sheetView workbookViewId="0">
      <selection activeCell="A3" sqref="A3:F3"/>
    </sheetView>
  </sheetViews>
  <sheetFormatPr defaultRowHeight="18.75"/>
  <cols>
    <col min="2" max="2" width="41.296875" customWidth="1"/>
    <col min="5" max="5" width="7.796875" style="95" bestFit="1" customWidth="1"/>
    <col min="6" max="6" width="10.796875" style="95" bestFit="1" customWidth="1"/>
  </cols>
  <sheetData>
    <row r="1" spans="1:6" ht="23.25">
      <c r="A1" s="251" t="s">
        <v>50</v>
      </c>
      <c r="B1" s="252"/>
      <c r="C1" s="252"/>
      <c r="D1" s="252"/>
      <c r="E1" s="252"/>
      <c r="F1" s="253"/>
    </row>
    <row r="2" spans="1:6" ht="18" customHeight="1">
      <c r="A2" s="254" t="s">
        <v>51</v>
      </c>
      <c r="B2" s="255"/>
      <c r="C2" s="255"/>
      <c r="D2" s="255"/>
      <c r="E2" s="255"/>
      <c r="F2" s="256"/>
    </row>
    <row r="3" spans="1:6" ht="36" customHeight="1">
      <c r="A3" s="257" t="str">
        <f>[5]ESTIMATE!A2</f>
        <v>Name of Work :-IMPROVEMENT OF PCC ROAD AT TASLIM MASZID ROAD, INFRONT OF WATER TANK GALI FROM MARHUM YUNUS HOUSE TO SHAMS TAUHID HOUSE AND CONSTRUCTION OF RCC CULVERT AT NEAR CENTRAL STREET LAL BUILDING UNDER WARD NO-23</v>
      </c>
      <c r="B3" s="258"/>
      <c r="C3" s="258"/>
      <c r="D3" s="258"/>
      <c r="E3" s="258"/>
      <c r="F3" s="259"/>
    </row>
    <row r="4" spans="1:6" ht="30">
      <c r="A4" s="39" t="s">
        <v>52</v>
      </c>
      <c r="B4" s="69" t="s">
        <v>39</v>
      </c>
      <c r="C4" s="69" t="s">
        <v>5</v>
      </c>
      <c r="D4" s="69" t="s">
        <v>6</v>
      </c>
      <c r="E4" s="70" t="s">
        <v>53</v>
      </c>
      <c r="F4" s="70" t="s">
        <v>54</v>
      </c>
    </row>
    <row r="5" spans="1:6" ht="28.5">
      <c r="A5" s="39">
        <f>[5]ESTIMATE!A4</f>
        <v>1</v>
      </c>
      <c r="B5" s="71" t="str">
        <f>[5]ESTIMATE!B4</f>
        <v>Labour for site clearence before and after the work, Including Head load &amp;Groove cutting etc.</v>
      </c>
      <c r="C5" s="72">
        <f>[5]ESTIMATE!G4</f>
        <v>4</v>
      </c>
      <c r="D5" s="73" t="str">
        <f>[5]ESTIMATE!H4</f>
        <v>No.</v>
      </c>
      <c r="E5" s="44">
        <f>[5]ESTIMATE!I4</f>
        <v>326.85000000000002</v>
      </c>
      <c r="F5" s="44">
        <f t="shared" ref="F5:F16" si="0">ROUND(C5*E5,2)</f>
        <v>1307.4000000000001</v>
      </c>
    </row>
    <row r="6" spans="1:6" ht="42.75">
      <c r="A6" s="39" t="str">
        <f>[5]ESTIMATE!A5</f>
        <v>2     5.10.2</v>
      </c>
      <c r="B6" s="71" t="str">
        <f>[5]ESTIMATE!B5</f>
        <v>Dismantling plain cement or lime concrete work including ………do…….complete as per specification and  direction of E/I.</v>
      </c>
      <c r="C6" s="72">
        <f>[5]ESTIMATE!G9</f>
        <v>0.35</v>
      </c>
      <c r="D6" s="73" t="s">
        <v>55</v>
      </c>
      <c r="E6" s="44">
        <f>[5]ESTIMATE!I9</f>
        <v>955.89</v>
      </c>
      <c r="F6" s="44">
        <f t="shared" si="0"/>
        <v>334.56</v>
      </c>
    </row>
    <row r="7" spans="1:6" ht="57">
      <c r="A7" s="39" t="str">
        <f>[5]ESTIMATE!A10</f>
        <v>3
5.10.3</v>
      </c>
      <c r="B7" s="71" t="str">
        <f>[5]ESTIMATE!B10</f>
        <v>Dismantling R.C.C work  including stacking serviceable materials in countable stacks within 15M.lead and disposal of unserviceable materials with all leads complete  as per direction of E/I.</v>
      </c>
      <c r="C7" s="72">
        <f>[5]ESTIMATE!G14</f>
        <v>0.43</v>
      </c>
      <c r="D7" s="73" t="s">
        <v>55</v>
      </c>
      <c r="E7" s="44">
        <f>[5]ESTIMATE!I14</f>
        <v>1993.04</v>
      </c>
      <c r="F7" s="44">
        <f t="shared" si="0"/>
        <v>857.01</v>
      </c>
    </row>
    <row r="8" spans="1:6" ht="85.5">
      <c r="A8" s="39" t="str">
        <f>[5]ESTIMATE!A15</f>
        <v>4       5.1.1.</v>
      </c>
      <c r="B8" s="71" t="str">
        <f>[5]ESTIMATE!B15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8" s="72">
        <f>[5]ESTIMATE!G19</f>
        <v>5</v>
      </c>
      <c r="D8" s="73" t="s">
        <v>55</v>
      </c>
      <c r="E8" s="44">
        <f>[5]ESTIMATE!I19</f>
        <v>151.82</v>
      </c>
      <c r="F8" s="44">
        <f t="shared" si="0"/>
        <v>759.1</v>
      </c>
    </row>
    <row r="9" spans="1:6" ht="85.5">
      <c r="A9" s="39" t="str">
        <f>[5]ESTIMATE!A20</f>
        <v>5.         5.1.10</v>
      </c>
      <c r="B9" s="71" t="str">
        <f>[5]ESTIMATE!B20</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9" s="72">
        <f>[5]ESTIMATE!G23</f>
        <v>0.43</v>
      </c>
      <c r="D9" s="73" t="s">
        <v>55</v>
      </c>
      <c r="E9" s="44">
        <f>[5]ESTIMATE!I23</f>
        <v>589.51</v>
      </c>
      <c r="F9" s="44">
        <f t="shared" si="0"/>
        <v>253.49</v>
      </c>
    </row>
    <row r="10" spans="1:6" ht="57">
      <c r="A10" s="39" t="str">
        <f>[5]ESTIMATE!A24</f>
        <v>6.       5.6.8 (C.I.W.)</v>
      </c>
      <c r="B10" s="71" t="str">
        <f>[5]ESTIMATE!B24</f>
        <v>Supplying and laying (properly as per design and drawing )rip-rap with good quality of boulders duly packed including the cost of materials,royalty all taxes etc.but excluding the cost of carriage, all complete as per specification and direction of E/I.</v>
      </c>
      <c r="C10" s="72">
        <f>[5]ESTIMATE!G27</f>
        <v>0.73</v>
      </c>
      <c r="D10" s="73" t="s">
        <v>55</v>
      </c>
      <c r="E10" s="44">
        <f>[5]ESTIMATE!I27</f>
        <v>1756.4</v>
      </c>
      <c r="F10" s="44">
        <f t="shared" si="0"/>
        <v>1282.17</v>
      </c>
    </row>
    <row r="11" spans="1:6" ht="99.75">
      <c r="A11" s="39" t="str">
        <f>[5]ESTIMATE!A28</f>
        <v>7     5.3.10</v>
      </c>
      <c r="B11" s="71" t="str">
        <f>[5]ESTIMATE!B28</f>
        <v>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v>
      </c>
      <c r="C11" s="72">
        <f>[5]ESTIMATE!G32</f>
        <v>2.38</v>
      </c>
      <c r="D11" s="73" t="s">
        <v>55</v>
      </c>
      <c r="E11" s="44">
        <f>[5]ESTIMATE!I32</f>
        <v>6082.45</v>
      </c>
      <c r="F11" s="44">
        <f t="shared" si="0"/>
        <v>14476.23</v>
      </c>
    </row>
    <row r="12" spans="1:6" ht="99.75">
      <c r="A12" s="39" t="str">
        <f>[5]ESTIMATE!A33</f>
        <v>8                  5.3.11</v>
      </c>
      <c r="B12" s="71" t="str">
        <f>[5]ESTIMATE!B33</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2" s="72">
        <f>[5]ESTIMATE!G37</f>
        <v>4.7</v>
      </c>
      <c r="D12" s="73" t="s">
        <v>55</v>
      </c>
      <c r="E12" s="44">
        <f>[5]ESTIMATE!I37</f>
        <v>6308.87</v>
      </c>
      <c r="F12" s="44">
        <f t="shared" si="0"/>
        <v>29651.69</v>
      </c>
    </row>
    <row r="13" spans="1:6" ht="100.5" customHeight="1">
      <c r="A13" s="39">
        <f>[5]ESTIMATE!A38</f>
        <v>9</v>
      </c>
      <c r="B13" s="71" t="str">
        <f>[5]ESTIMATE!B38</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3" s="72">
        <f>[5]ESTIMATE!G41</f>
        <v>0.08</v>
      </c>
      <c r="D13" s="73" t="s">
        <v>56</v>
      </c>
      <c r="E13" s="44">
        <f>[5]ESTIMATE!I41</f>
        <v>83314.02</v>
      </c>
      <c r="F13" s="44">
        <f t="shared" si="0"/>
        <v>6665.12</v>
      </c>
    </row>
    <row r="14" spans="1:6">
      <c r="A14" s="39" t="str">
        <f>[5]ESTIMATE!A42</f>
        <v>5.5.5(a)</v>
      </c>
      <c r="B14" s="71"/>
      <c r="C14" s="72">
        <f>[5]ESTIMATE!G45</f>
        <v>0.52</v>
      </c>
      <c r="D14" s="73" t="s">
        <v>56</v>
      </c>
      <c r="E14" s="44">
        <f>[5]ESTIMATE!I45</f>
        <v>82096.539999999994</v>
      </c>
      <c r="F14" s="44">
        <f t="shared" si="0"/>
        <v>42690.2</v>
      </c>
    </row>
    <row r="15" spans="1:6" ht="65.099999999999994" customHeight="1">
      <c r="A15" s="39" t="str">
        <f>[5]ESTIMATE!A46</f>
        <v>10.     5.3.1.1</v>
      </c>
      <c r="B15" s="74" t="str">
        <f>[5]ESTIMATE!B46</f>
        <v xml:space="preserve">Providing and laying in position cement concrete of specified grade excluding the cost of centering and shuttering- All work upto plinth level : 1:1½:3 (1 cemet : 1½ coarse sand (zone-iii) : 3 graded stone aggregate 20mm nominal size )  </v>
      </c>
      <c r="C15" s="72">
        <f>[5]ESTIMATE!G49</f>
        <v>32.71</v>
      </c>
      <c r="D15" s="73" t="s">
        <v>55</v>
      </c>
      <c r="E15" s="44">
        <f>[5]ESTIMATE!I49</f>
        <v>4961.7299999999996</v>
      </c>
      <c r="F15" s="44">
        <f t="shared" si="0"/>
        <v>162298.19</v>
      </c>
    </row>
    <row r="16" spans="1:6" ht="42.75">
      <c r="A16" s="39" t="str">
        <f>[5]ESTIMATE!A50</f>
        <v>11               5.3.17.1</v>
      </c>
      <c r="B16" s="71" t="str">
        <f>[5]ESTIMATE!B50</f>
        <v>Centering and shuttering including strutting, propping etc. and removal of from for Foundations, footings, bases of columns, etc. for mass concrete.</v>
      </c>
      <c r="C16" s="72">
        <f>[5]ESTIMATE!G56</f>
        <v>61.27</v>
      </c>
      <c r="D16" s="75" t="s">
        <v>57</v>
      </c>
      <c r="E16" s="70">
        <f>[5]ESTIMATE!I56</f>
        <v>194.5</v>
      </c>
      <c r="F16" s="70">
        <f t="shared" si="0"/>
        <v>11917.02</v>
      </c>
    </row>
    <row r="17" spans="1:6">
      <c r="A17" s="39">
        <f>[5]ESTIMATE!A57</f>
        <v>12</v>
      </c>
      <c r="B17" s="76" t="s">
        <v>21</v>
      </c>
      <c r="C17" s="73"/>
      <c r="D17" s="77"/>
      <c r="E17" s="78"/>
      <c r="F17" s="44"/>
    </row>
    <row r="18" spans="1:6">
      <c r="A18" s="79" t="str">
        <f>[5]ESTIMATE!A58</f>
        <v>(i)</v>
      </c>
      <c r="B18" s="80" t="str">
        <f>[5]ESTIMATE!B58</f>
        <v>SAND-LEAD-49KM</v>
      </c>
      <c r="C18" s="73">
        <f>[5]ESTIMATE!G58</f>
        <v>17.11</v>
      </c>
      <c r="D18" s="77" t="s">
        <v>11</v>
      </c>
      <c r="E18" s="70">
        <f>[5]ESTIMATE!I58</f>
        <v>848.82</v>
      </c>
      <c r="F18" s="44">
        <f t="shared" ref="F18:F22" si="1">ROUND(C18*E18,2)</f>
        <v>14523.31</v>
      </c>
    </row>
    <row r="19" spans="1:6">
      <c r="A19" s="79" t="str">
        <f>[5]ESTIMATE!A59</f>
        <v>(ii)</v>
      </c>
      <c r="B19" s="80" t="str">
        <f>[5]ESTIMATE!B59</f>
        <v>LOCAL SAND-LEAD-14KM</v>
      </c>
      <c r="C19" s="73">
        <f>[5]ESTIMATE!G59</f>
        <v>0.43</v>
      </c>
      <c r="D19" s="77" t="s">
        <v>11</v>
      </c>
      <c r="E19" s="70">
        <f>[5]ESTIMATE!I59</f>
        <v>328.02</v>
      </c>
      <c r="F19" s="44">
        <f t="shared" si="1"/>
        <v>141.05000000000001</v>
      </c>
    </row>
    <row r="20" spans="1:6">
      <c r="A20" s="79" t="str">
        <f>[5]ESTIMATE!A60</f>
        <v>(iii)</v>
      </c>
      <c r="B20" s="81" t="str">
        <f>[5]ESTIMATE!B60</f>
        <v>STONE CHIPS-LEAD-22KM</v>
      </c>
      <c r="C20" s="73">
        <f>[5]ESTIMATE!G60</f>
        <v>34.22</v>
      </c>
      <c r="D20" s="77" t="s">
        <v>11</v>
      </c>
      <c r="E20" s="70">
        <f>[5]ESTIMATE!I60</f>
        <v>447.06</v>
      </c>
      <c r="F20" s="44">
        <f t="shared" si="1"/>
        <v>15298.39</v>
      </c>
    </row>
    <row r="21" spans="1:6">
      <c r="A21" s="79" t="str">
        <f>[5]ESTIMATE!A61</f>
        <v>(iv)</v>
      </c>
      <c r="B21" s="81" t="str">
        <f>[5]ESTIMATE!B61</f>
        <v>BOULDER-LEAD-36KM</v>
      </c>
      <c r="C21" s="73">
        <f>[5]ESTIMATE!G61</f>
        <v>0.73</v>
      </c>
      <c r="D21" s="77" t="s">
        <v>11</v>
      </c>
      <c r="E21" s="70">
        <f>[5]ESTIMATE!I61</f>
        <v>679.66</v>
      </c>
      <c r="F21" s="44">
        <f t="shared" si="1"/>
        <v>496.15</v>
      </c>
    </row>
    <row r="22" spans="1:6">
      <c r="A22" s="79" t="str">
        <f>[5]ESTIMATE!A62</f>
        <v>(v)</v>
      </c>
      <c r="B22" s="71" t="str">
        <f>[5]ESTIMATE!B62</f>
        <v>EARTH-LEAD-01km</v>
      </c>
      <c r="C22" s="73">
        <f>[5]ESTIMATE!G62</f>
        <v>5</v>
      </c>
      <c r="D22" s="77" t="s">
        <v>11</v>
      </c>
      <c r="E22" s="70">
        <f>[5]ESTIMATE!I62</f>
        <v>117.54</v>
      </c>
      <c r="F22" s="44">
        <f t="shared" si="1"/>
        <v>587.70000000000005</v>
      </c>
    </row>
    <row r="23" spans="1:6">
      <c r="A23" s="82"/>
      <c r="B23" s="82"/>
      <c r="C23" s="249" t="s">
        <v>46</v>
      </c>
      <c r="D23" s="249"/>
      <c r="E23" s="250"/>
      <c r="F23" s="44">
        <f>SUM(F5:F22)</f>
        <v>303538.78000000003</v>
      </c>
    </row>
    <row r="24" spans="1:6">
      <c r="A24" s="82"/>
      <c r="B24" s="82"/>
      <c r="C24" s="260" t="s">
        <v>47</v>
      </c>
      <c r="D24" s="249"/>
      <c r="E24" s="250"/>
      <c r="F24" s="44">
        <f>ROUND(F23*0.18,2)</f>
        <v>54636.98</v>
      </c>
    </row>
    <row r="25" spans="1:6">
      <c r="A25" s="82"/>
      <c r="B25" s="82"/>
      <c r="C25" s="260" t="s">
        <v>46</v>
      </c>
      <c r="D25" s="249"/>
      <c r="E25" s="250"/>
      <c r="F25" s="44">
        <f>SUM(F23:F24)</f>
        <v>358175.76</v>
      </c>
    </row>
    <row r="26" spans="1:6">
      <c r="A26" s="82"/>
      <c r="B26" s="82"/>
      <c r="C26" s="249" t="s">
        <v>58</v>
      </c>
      <c r="D26" s="249"/>
      <c r="E26" s="250"/>
      <c r="F26" s="44">
        <f>ROUND(F25*0.01,2)</f>
        <v>3581.76</v>
      </c>
    </row>
    <row r="27" spans="1:6">
      <c r="A27" s="82"/>
      <c r="B27" s="82"/>
      <c r="C27" s="249" t="s">
        <v>46</v>
      </c>
      <c r="D27" s="249"/>
      <c r="E27" s="250"/>
      <c r="F27" s="44">
        <f>SUM(F25:F26)</f>
        <v>361757.52</v>
      </c>
    </row>
    <row r="28" spans="1:6">
      <c r="A28" s="82"/>
      <c r="B28" s="82"/>
      <c r="C28" s="249" t="s">
        <v>49</v>
      </c>
      <c r="D28" s="249"/>
      <c r="E28" s="250"/>
      <c r="F28" s="44">
        <v>361758</v>
      </c>
    </row>
    <row r="29" spans="1:6">
      <c r="A29" s="83"/>
      <c r="B29" s="83"/>
      <c r="C29" s="84"/>
      <c r="D29" s="84"/>
      <c r="E29" s="85"/>
      <c r="F29" s="86"/>
    </row>
    <row r="30" spans="1:6">
      <c r="A30" s="87"/>
      <c r="B30" s="87"/>
      <c r="C30" s="88"/>
      <c r="D30" s="88"/>
      <c r="E30" s="89"/>
      <c r="F30" s="90"/>
    </row>
    <row r="31" spans="1:6">
      <c r="A31" s="62"/>
      <c r="B31" s="91"/>
      <c r="C31" s="91"/>
      <c r="D31" s="91"/>
      <c r="E31" s="92"/>
      <c r="F31" s="92"/>
    </row>
    <row r="32" spans="1:6">
      <c r="A32" s="62"/>
      <c r="B32" s="91"/>
      <c r="C32" s="91"/>
      <c r="D32" s="91"/>
      <c r="E32" s="92"/>
      <c r="F32" s="92"/>
    </row>
    <row r="33" spans="1:6">
      <c r="A33" s="62"/>
      <c r="B33" s="93"/>
      <c r="C33" s="94"/>
      <c r="D33" s="91"/>
      <c r="E33" s="92"/>
      <c r="F33" s="90"/>
    </row>
    <row r="34" spans="1:6">
      <c r="A34" s="62"/>
      <c r="B34" s="93"/>
      <c r="C34" s="94"/>
      <c r="D34" s="91"/>
      <c r="E34" s="92"/>
      <c r="F34" s="90"/>
    </row>
  </sheetData>
  <mergeCells count="9">
    <mergeCell ref="C26:E26"/>
    <mergeCell ref="C27:E27"/>
    <mergeCell ref="C28:E28"/>
    <mergeCell ref="A1:F1"/>
    <mergeCell ref="A2:F2"/>
    <mergeCell ref="A3:F3"/>
    <mergeCell ref="C23:E23"/>
    <mergeCell ref="C24:E24"/>
    <mergeCell ref="C25:E2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7"/>
  <sheetViews>
    <sheetView topLeftCell="A10" workbookViewId="0">
      <selection activeCell="D6" sqref="D6:E7"/>
    </sheetView>
  </sheetViews>
  <sheetFormatPr defaultRowHeight="18.75"/>
  <cols>
    <col min="1" max="1" width="5.59765625" customWidth="1"/>
    <col min="2" max="2" width="28.19921875" customWidth="1"/>
    <col min="5" max="5" width="7.796875" customWidth="1"/>
    <col min="6" max="6" width="11.296875" customWidth="1"/>
  </cols>
  <sheetData>
    <row r="1" spans="1:6" ht="28.5" customHeight="1">
      <c r="A1" s="261" t="s">
        <v>36</v>
      </c>
      <c r="B1" s="261"/>
      <c r="C1" s="261"/>
      <c r="D1" s="261"/>
      <c r="E1" s="261"/>
      <c r="F1" s="261"/>
    </row>
    <row r="2" spans="1:6" ht="21" customHeight="1">
      <c r="A2" s="262" t="s">
        <v>37</v>
      </c>
      <c r="B2" s="262"/>
      <c r="C2" s="262"/>
      <c r="D2" s="262"/>
      <c r="E2" s="262"/>
      <c r="F2" s="262"/>
    </row>
    <row r="3" spans="1:6" ht="39" customHeight="1">
      <c r="A3" s="263" t="str">
        <f>[6]ESTIMATE!A2</f>
        <v xml:space="preserve">Name of Work :-CONSTRUCTION OF PCC ROAD AT BESIDE ARSHI APARTMENT GALI UNDER WARD NO. 23 </v>
      </c>
      <c r="B3" s="263"/>
      <c r="C3" s="263"/>
      <c r="D3" s="263"/>
      <c r="E3" s="263"/>
      <c r="F3" s="263"/>
    </row>
    <row r="4" spans="1:6" ht="30">
      <c r="A4" s="36" t="s">
        <v>38</v>
      </c>
      <c r="B4" s="37" t="s">
        <v>39</v>
      </c>
      <c r="C4" s="37" t="s">
        <v>5</v>
      </c>
      <c r="D4" s="37" t="s">
        <v>6</v>
      </c>
      <c r="E4" s="38" t="s">
        <v>40</v>
      </c>
      <c r="F4" s="39" t="s">
        <v>41</v>
      </c>
    </row>
    <row r="5" spans="1:6" ht="25.5">
      <c r="A5" s="36">
        <v>1</v>
      </c>
      <c r="B5" s="40" t="s">
        <v>42</v>
      </c>
      <c r="C5" s="41">
        <f>[6]ESTIMATE!G4</f>
        <v>3</v>
      </c>
      <c r="D5" s="42" t="s">
        <v>43</v>
      </c>
      <c r="E5" s="43">
        <f>[6]ESTIMATE!I4</f>
        <v>326.85000000000002</v>
      </c>
      <c r="F5" s="44">
        <f t="shared" ref="F5:F10" si="0">ROUND(C5*E5,2)</f>
        <v>980.55</v>
      </c>
    </row>
    <row r="6" spans="1:6" ht="102">
      <c r="A6" s="36" t="str">
        <f>[6]ESTIMATE!A5</f>
        <v>2 (J.B.C.D.5.1.1.)</v>
      </c>
      <c r="B6" s="47" t="s">
        <v>59</v>
      </c>
      <c r="C6" s="41">
        <f>[6]ESTIMATE!G8</f>
        <v>14.73</v>
      </c>
      <c r="D6" s="42" t="s">
        <v>11</v>
      </c>
      <c r="E6" s="50">
        <f>[6]ESTIMATE!I8</f>
        <v>151.82</v>
      </c>
      <c r="F6" s="44">
        <f t="shared" si="0"/>
        <v>2236.31</v>
      </c>
    </row>
    <row r="7" spans="1:6" ht="102">
      <c r="A7" s="96" t="str">
        <f>[6]ESTIMATE!A9</f>
        <v>3.         5.1.10</v>
      </c>
      <c r="B7" s="47" t="str">
        <f>[6]ESTIMATE!B9</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7" s="41">
        <f>[6]ESTIMATE!G12</f>
        <v>3.68</v>
      </c>
      <c r="D7" s="42" t="s">
        <v>11</v>
      </c>
      <c r="E7" s="50">
        <f>[6]ESTIMATE!I12</f>
        <v>589.51</v>
      </c>
      <c r="F7" s="44">
        <f t="shared" si="0"/>
        <v>2169.4</v>
      </c>
    </row>
    <row r="8" spans="1:6" ht="76.5">
      <c r="A8" s="36" t="str">
        <f>[6]ESTIMATE!A13</f>
        <v>4.        (J.B.C.D.5.6.8)</v>
      </c>
      <c r="B8" s="47" t="s">
        <v>60</v>
      </c>
      <c r="C8" s="41">
        <f>[6]ESTIMATE!G16</f>
        <v>6.19</v>
      </c>
      <c r="D8" s="42" t="s">
        <v>11</v>
      </c>
      <c r="E8" s="50">
        <f>[6]ESTIMATE!I16</f>
        <v>1756.4</v>
      </c>
      <c r="F8" s="44">
        <f t="shared" si="0"/>
        <v>10872.12</v>
      </c>
    </row>
    <row r="9" spans="1:6" ht="76.5">
      <c r="A9" s="36" t="str">
        <f>[6]ESTIMATE!A17</f>
        <v>5.     5.3.1.1</v>
      </c>
      <c r="B9" s="45" t="s">
        <v>44</v>
      </c>
      <c r="C9" s="41">
        <f>[6]ESTIMATE!G22</f>
        <v>46.02</v>
      </c>
      <c r="D9" s="42" t="s">
        <v>11</v>
      </c>
      <c r="E9" s="46">
        <f>[6]ESTIMATE!I22</f>
        <v>4961.7299999999996</v>
      </c>
      <c r="F9" s="44">
        <f t="shared" si="0"/>
        <v>228338.81</v>
      </c>
    </row>
    <row r="10" spans="1:6" ht="51">
      <c r="A10" s="36" t="str">
        <f>[6]ESTIMATE!A23</f>
        <v>6                 5.3.17.1</v>
      </c>
      <c r="B10" s="47" t="s">
        <v>19</v>
      </c>
      <c r="C10" s="48">
        <f>[6]ESTIMATE!G27</f>
        <v>48.33</v>
      </c>
      <c r="D10" s="49" t="s">
        <v>20</v>
      </c>
      <c r="E10" s="50">
        <f>[6]ESTIMATE!I27</f>
        <v>194.5</v>
      </c>
      <c r="F10" s="44">
        <f t="shared" si="0"/>
        <v>9400.19</v>
      </c>
    </row>
    <row r="11" spans="1:6">
      <c r="A11" s="36">
        <f>[6]ESTIMATE!A28</f>
        <v>7</v>
      </c>
      <c r="B11" s="51" t="s">
        <v>21</v>
      </c>
      <c r="C11" s="52"/>
      <c r="D11" s="52"/>
      <c r="E11" s="53"/>
      <c r="F11" s="44"/>
    </row>
    <row r="12" spans="1:6">
      <c r="A12" s="37" t="s">
        <v>22</v>
      </c>
      <c r="B12" s="54" t="s">
        <v>23</v>
      </c>
      <c r="C12" s="52">
        <f>'[6]MATERIAL '!F7</f>
        <v>19.79</v>
      </c>
      <c r="D12" s="52" t="s">
        <v>11</v>
      </c>
      <c r="E12" s="43">
        <f>[6]ESTIMATE!I29</f>
        <v>848.82</v>
      </c>
      <c r="F12" s="44">
        <f>ROUND(C12*E12,2)</f>
        <v>16798.150000000001</v>
      </c>
    </row>
    <row r="13" spans="1:6">
      <c r="A13" s="37" t="s">
        <v>24</v>
      </c>
      <c r="B13" s="54" t="str">
        <f>[6]ESTIMATE!B30</f>
        <v>LOCAL SAND-14KM</v>
      </c>
      <c r="C13" s="52">
        <f>'[6]MATERIAL '!G4</f>
        <v>3.68</v>
      </c>
      <c r="D13" s="52" t="s">
        <v>11</v>
      </c>
      <c r="E13" s="43">
        <f>[6]ESTIMATE!I30</f>
        <v>328.02</v>
      </c>
      <c r="F13" s="44">
        <f>ROUND(C13*E13,2)</f>
        <v>1207.1099999999999</v>
      </c>
    </row>
    <row r="14" spans="1:6">
      <c r="A14" s="37" t="s">
        <v>26</v>
      </c>
      <c r="B14" s="55" t="s">
        <v>45</v>
      </c>
      <c r="C14" s="52">
        <f>'[6]MATERIAL '!H7</f>
        <v>39.58</v>
      </c>
      <c r="D14" s="52" t="s">
        <v>11</v>
      </c>
      <c r="E14" s="43">
        <f>[6]ESTIMATE!I31</f>
        <v>447.06</v>
      </c>
      <c r="F14" s="44">
        <f>ROUND(C14*E14,2)</f>
        <v>17694.63</v>
      </c>
    </row>
    <row r="15" spans="1:6">
      <c r="A15" s="37" t="s">
        <v>28</v>
      </c>
      <c r="B15" s="55" t="s">
        <v>29</v>
      </c>
      <c r="C15" s="97">
        <f>'[6]MATERIAL '!C5</f>
        <v>6.19</v>
      </c>
      <c r="D15" s="52" t="s">
        <v>11</v>
      </c>
      <c r="E15" s="43">
        <f>[6]ESTIMATE!I32</f>
        <v>679.66</v>
      </c>
      <c r="F15" s="44">
        <f>ROUND(C15*E15,2)</f>
        <v>4207.1000000000004</v>
      </c>
    </row>
    <row r="16" spans="1:6">
      <c r="A16" s="37" t="s">
        <v>30</v>
      </c>
      <c r="B16" s="98" t="s">
        <v>31</v>
      </c>
      <c r="C16" s="52">
        <f>'[6]MATERIAL '!C3</f>
        <v>14.73</v>
      </c>
      <c r="D16" s="52" t="s">
        <v>11</v>
      </c>
      <c r="E16" s="43">
        <f>[6]ESTIMATE!I33</f>
        <v>117.54</v>
      </c>
      <c r="F16" s="44">
        <f>ROUND(C16*E16,2)</f>
        <v>1731.36</v>
      </c>
    </row>
    <row r="17" spans="1:6">
      <c r="A17" s="56"/>
      <c r="B17" s="57"/>
      <c r="C17" s="246" t="s">
        <v>46</v>
      </c>
      <c r="D17" s="247"/>
      <c r="E17" s="248"/>
      <c r="F17" s="44">
        <f>SUM(F5:F16)</f>
        <v>295635.73</v>
      </c>
    </row>
    <row r="18" spans="1:6">
      <c r="A18" s="56"/>
      <c r="B18" s="57"/>
      <c r="C18" s="240" t="s">
        <v>47</v>
      </c>
      <c r="D18" s="241"/>
      <c r="E18" s="242"/>
      <c r="F18" s="44">
        <f>F17*18%</f>
        <v>53214.431399999994</v>
      </c>
    </row>
    <row r="19" spans="1:6">
      <c r="A19" s="56"/>
      <c r="B19" s="57"/>
      <c r="C19" s="246" t="s">
        <v>46</v>
      </c>
      <c r="D19" s="247"/>
      <c r="E19" s="248"/>
      <c r="F19" s="44">
        <f>SUM(F17+F18)</f>
        <v>348850.16139999998</v>
      </c>
    </row>
    <row r="20" spans="1:6">
      <c r="A20" s="56"/>
      <c r="B20" s="57"/>
      <c r="C20" s="237" t="s">
        <v>48</v>
      </c>
      <c r="D20" s="238"/>
      <c r="E20" s="239"/>
      <c r="F20" s="44">
        <f>F19*1%</f>
        <v>3488.5016139999998</v>
      </c>
    </row>
    <row r="21" spans="1:6">
      <c r="A21" s="56"/>
      <c r="B21" s="57"/>
      <c r="C21" s="240" t="s">
        <v>46</v>
      </c>
      <c r="D21" s="241"/>
      <c r="E21" s="242"/>
      <c r="F21" s="44">
        <f>SUM(F19:F20)</f>
        <v>352338.66301399999</v>
      </c>
    </row>
    <row r="22" spans="1:6">
      <c r="A22" s="56"/>
      <c r="B22" s="57"/>
      <c r="C22" s="240" t="s">
        <v>49</v>
      </c>
      <c r="D22" s="241"/>
      <c r="E22" s="242"/>
      <c r="F22" s="44">
        <v>352339</v>
      </c>
    </row>
    <row r="23" spans="1:6">
      <c r="A23" s="58"/>
      <c r="B23" s="59"/>
      <c r="C23" s="60"/>
      <c r="D23" s="60"/>
      <c r="E23" s="61"/>
      <c r="F23" s="62"/>
    </row>
    <row r="24" spans="1:6">
      <c r="A24" s="63"/>
      <c r="B24" s="64"/>
      <c r="C24" s="65"/>
      <c r="D24" s="65"/>
      <c r="E24" s="66"/>
      <c r="F24" s="62"/>
    </row>
    <row r="25" spans="1:6">
      <c r="A25" s="63"/>
      <c r="B25" s="64"/>
      <c r="C25" s="65"/>
      <c r="D25" s="65"/>
      <c r="E25" s="66"/>
      <c r="F25" s="62"/>
    </row>
    <row r="26" spans="1:6">
      <c r="A26" s="63"/>
      <c r="B26" s="67" t="s">
        <v>61</v>
      </c>
      <c r="C26" s="65"/>
      <c r="D26" s="65"/>
      <c r="E26" s="66"/>
      <c r="F26" s="63" t="s">
        <v>62</v>
      </c>
    </row>
    <row r="27" spans="1:6">
      <c r="A27" s="63"/>
      <c r="B27" s="67" t="s">
        <v>63</v>
      </c>
      <c r="C27" s="65"/>
      <c r="D27" s="65"/>
      <c r="E27" s="66"/>
      <c r="F27" s="63" t="s">
        <v>63</v>
      </c>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3"/>
  <sheetViews>
    <sheetView workbookViewId="0">
      <selection activeCell="A3" sqref="A3:F3"/>
    </sheetView>
  </sheetViews>
  <sheetFormatPr defaultRowHeight="18.75"/>
  <cols>
    <col min="1" max="1" width="5.59765625" customWidth="1"/>
    <col min="2" max="2" width="27.3984375" customWidth="1"/>
    <col min="5" max="5" width="7.796875" customWidth="1"/>
    <col min="6" max="6" width="11.296875" customWidth="1"/>
  </cols>
  <sheetData>
    <row r="1" spans="1:6" ht="36" customHeight="1">
      <c r="A1" s="243" t="s">
        <v>36</v>
      </c>
      <c r="B1" s="243"/>
      <c r="C1" s="243"/>
      <c r="D1" s="243"/>
      <c r="E1" s="243"/>
      <c r="F1" s="243"/>
    </row>
    <row r="2" spans="1:6" ht="21" customHeight="1">
      <c r="A2" s="264" t="s">
        <v>37</v>
      </c>
      <c r="B2" s="264"/>
      <c r="C2" s="264"/>
      <c r="D2" s="264"/>
      <c r="E2" s="264"/>
      <c r="F2" s="264"/>
    </row>
    <row r="3" spans="1:6" ht="39" customHeight="1">
      <c r="A3" s="265" t="s">
        <v>64</v>
      </c>
      <c r="B3" s="265"/>
      <c r="C3" s="265"/>
      <c r="D3" s="265"/>
      <c r="E3" s="265"/>
      <c r="F3" s="265"/>
    </row>
    <row r="4" spans="1:6" ht="30">
      <c r="A4" s="36" t="s">
        <v>38</v>
      </c>
      <c r="B4" s="37" t="s">
        <v>39</v>
      </c>
      <c r="C4" s="37" t="s">
        <v>5</v>
      </c>
      <c r="D4" s="37" t="s">
        <v>6</v>
      </c>
      <c r="E4" s="38" t="s">
        <v>40</v>
      </c>
      <c r="F4" s="39" t="s">
        <v>41</v>
      </c>
    </row>
    <row r="5" spans="1:6" ht="25.5">
      <c r="A5" s="36">
        <v>1</v>
      </c>
      <c r="B5" s="40" t="s">
        <v>42</v>
      </c>
      <c r="C5" s="41">
        <f>[7]ESTIMATE!G4</f>
        <v>5</v>
      </c>
      <c r="D5" s="42" t="s">
        <v>43</v>
      </c>
      <c r="E5" s="43">
        <f>[7]ESTIMATE!I4</f>
        <v>326.85000000000002</v>
      </c>
      <c r="F5" s="44">
        <f t="shared" ref="F5:F16" si="0">ROUND(C5*E5,2)</f>
        <v>1634.25</v>
      </c>
    </row>
    <row r="6" spans="1:6" ht="63.75">
      <c r="A6" s="36" t="s">
        <v>65</v>
      </c>
      <c r="B6" s="47" t="s">
        <v>66</v>
      </c>
      <c r="C6" s="41">
        <f>[7]ESTIMATE!G9</f>
        <v>1.36</v>
      </c>
      <c r="D6" s="42" t="s">
        <v>11</v>
      </c>
      <c r="E6" s="46">
        <f>[7]ESTIMATE!I9</f>
        <v>541.66999999999996</v>
      </c>
      <c r="F6" s="44">
        <f t="shared" si="0"/>
        <v>736.67</v>
      </c>
    </row>
    <row r="7" spans="1:6" ht="56.1" customHeight="1">
      <c r="A7" s="36" t="str">
        <f>[7]ESTIMATE!A10</f>
        <v>3       (J.B.C.D 5.10.3)</v>
      </c>
      <c r="B7" s="47" t="str">
        <f>[7]ESTIMATE!B10</f>
        <v>Dismantling RCC slab including stacking serviceable material in countable stacks withnn 15M.lead and disposal of unserviceable material with all lead completed as per direction of E/I.</v>
      </c>
      <c r="C7" s="41">
        <f>[7]ESTIMATE!G13</f>
        <v>0.68</v>
      </c>
      <c r="D7" s="42" t="s">
        <v>11</v>
      </c>
      <c r="E7" s="46">
        <f>[7]ESTIMATE!I13</f>
        <v>1993.04</v>
      </c>
      <c r="F7" s="44">
        <f t="shared" si="0"/>
        <v>1355.27</v>
      </c>
    </row>
    <row r="8" spans="1:6" ht="102">
      <c r="A8" s="36" t="s">
        <v>67</v>
      </c>
      <c r="B8" s="47" t="s">
        <v>59</v>
      </c>
      <c r="C8" s="41">
        <f>[7]ESTIMATE!G21</f>
        <v>175.75</v>
      </c>
      <c r="D8" s="42" t="s">
        <v>11</v>
      </c>
      <c r="E8" s="50">
        <f>[7]ESTIMATE!I21</f>
        <v>151.82</v>
      </c>
      <c r="F8" s="44">
        <f t="shared" si="0"/>
        <v>26682.37</v>
      </c>
    </row>
    <row r="9" spans="1:6" ht="102">
      <c r="A9" s="36" t="s">
        <v>68</v>
      </c>
      <c r="B9" s="47" t="s">
        <v>69</v>
      </c>
      <c r="C9" s="41">
        <f>[7]ESTIMATE!G27</f>
        <v>35.54</v>
      </c>
      <c r="D9" s="42" t="s">
        <v>11</v>
      </c>
      <c r="E9" s="50">
        <f>[7]ESTIMATE!I27</f>
        <v>347.85</v>
      </c>
      <c r="F9" s="44">
        <f t="shared" si="0"/>
        <v>12362.59</v>
      </c>
    </row>
    <row r="10" spans="1:6" ht="76.5">
      <c r="A10" s="36" t="s">
        <v>70</v>
      </c>
      <c r="B10" s="47" t="s">
        <v>60</v>
      </c>
      <c r="C10" s="41">
        <f>[7]ESTIMATE!G33</f>
        <v>59.71</v>
      </c>
      <c r="D10" s="42" t="s">
        <v>11</v>
      </c>
      <c r="E10" s="50">
        <f>[7]ESTIMATE!I33</f>
        <v>1756.4</v>
      </c>
      <c r="F10" s="44">
        <f t="shared" si="0"/>
        <v>104874.64</v>
      </c>
    </row>
    <row r="11" spans="1:6" ht="76.5">
      <c r="A11" s="36" t="s">
        <v>71</v>
      </c>
      <c r="B11" s="45" t="s">
        <v>44</v>
      </c>
      <c r="C11" s="41">
        <f>[7]ESTIMATE!G39</f>
        <v>71.08</v>
      </c>
      <c r="D11" s="42" t="s">
        <v>11</v>
      </c>
      <c r="E11" s="46">
        <f>[7]ESTIMATE!I39</f>
        <v>4961.7299999999996</v>
      </c>
      <c r="F11" s="44">
        <f t="shared" si="0"/>
        <v>352679.77</v>
      </c>
    </row>
    <row r="12" spans="1:6" ht="114.75">
      <c r="A12" s="36" t="s">
        <v>72</v>
      </c>
      <c r="B12" s="99" t="s">
        <v>73</v>
      </c>
      <c r="C12" s="41">
        <f>[7]ESTIMATE!G44</f>
        <v>3.96</v>
      </c>
      <c r="D12" s="42" t="s">
        <v>11</v>
      </c>
      <c r="E12" s="50">
        <f>[7]ESTIMATE!I44</f>
        <v>6082.45</v>
      </c>
      <c r="F12" s="44">
        <f t="shared" si="0"/>
        <v>24086.5</v>
      </c>
    </row>
    <row r="13" spans="1:6" ht="127.5">
      <c r="A13" s="36" t="s">
        <v>74</v>
      </c>
      <c r="B13" s="47" t="s">
        <v>75</v>
      </c>
      <c r="C13" s="41">
        <f>[7]ESTIMATE!G48</f>
        <v>1.7</v>
      </c>
      <c r="D13" s="42" t="s">
        <v>11</v>
      </c>
      <c r="E13" s="50">
        <f>[7]ESTIMATE!I48</f>
        <v>6308.87</v>
      </c>
      <c r="F13" s="44">
        <f t="shared" si="0"/>
        <v>10725.08</v>
      </c>
    </row>
    <row r="14" spans="1:6" ht="102">
      <c r="A14" s="36" t="s">
        <v>76</v>
      </c>
      <c r="B14" s="47" t="s">
        <v>77</v>
      </c>
      <c r="C14" s="100">
        <f>[7]ESTIMATE!G53</f>
        <v>0.16</v>
      </c>
      <c r="D14" s="52" t="s">
        <v>56</v>
      </c>
      <c r="E14" s="50">
        <f>[7]ESTIMATE!I53</f>
        <v>83314.02</v>
      </c>
      <c r="F14" s="44">
        <f t="shared" si="0"/>
        <v>13330.24</v>
      </c>
    </row>
    <row r="15" spans="1:6">
      <c r="A15" s="101" t="s">
        <v>78</v>
      </c>
      <c r="B15" s="102"/>
      <c r="C15" s="100">
        <f>[7]ESTIMATE!G57</f>
        <v>0.28000000000000003</v>
      </c>
      <c r="D15" s="49" t="s">
        <v>56</v>
      </c>
      <c r="E15" s="50">
        <f>[7]ESTIMATE!I57</f>
        <v>82096.539999999994</v>
      </c>
      <c r="F15" s="44">
        <f t="shared" si="0"/>
        <v>22987.03</v>
      </c>
    </row>
    <row r="16" spans="1:6" ht="51">
      <c r="A16" s="36" t="s">
        <v>79</v>
      </c>
      <c r="B16" s="47" t="s">
        <v>19</v>
      </c>
      <c r="C16" s="48">
        <f>[7]ESTIMATE!G64</f>
        <v>44.14</v>
      </c>
      <c r="D16" s="49" t="s">
        <v>20</v>
      </c>
      <c r="E16" s="50">
        <f>[7]ESTIMATE!I64</f>
        <v>194.5</v>
      </c>
      <c r="F16" s="44">
        <f t="shared" si="0"/>
        <v>8585.23</v>
      </c>
    </row>
    <row r="17" spans="1:6">
      <c r="A17" s="36">
        <v>12</v>
      </c>
      <c r="B17" s="51" t="s">
        <v>21</v>
      </c>
      <c r="C17" s="52"/>
      <c r="D17" s="52"/>
      <c r="E17" s="53"/>
      <c r="F17" s="44"/>
    </row>
    <row r="18" spans="1:6">
      <c r="A18" s="37" t="s">
        <v>22</v>
      </c>
      <c r="B18" s="54" t="s">
        <v>23</v>
      </c>
      <c r="C18" s="52">
        <f>'[7]MATERIAL '!F10</f>
        <v>32.989999999999995</v>
      </c>
      <c r="D18" s="52" t="s">
        <v>11</v>
      </c>
      <c r="E18" s="43">
        <f>[7]ESTIMATE!I66</f>
        <v>848.82</v>
      </c>
      <c r="F18" s="44">
        <f>ROUND(C18*E18,2)</f>
        <v>28002.57</v>
      </c>
    </row>
    <row r="19" spans="1:6">
      <c r="A19" s="37" t="s">
        <v>24</v>
      </c>
      <c r="B19" s="54" t="s">
        <v>80</v>
      </c>
      <c r="C19" s="52">
        <f>'[7]MATERIAL '!G4</f>
        <v>35.54</v>
      </c>
      <c r="D19" s="52" t="s">
        <v>11</v>
      </c>
      <c r="E19" s="43">
        <f>[7]ESTIMATE!I67</f>
        <v>447.06</v>
      </c>
      <c r="F19" s="44">
        <f>ROUND(C19*E19,2)</f>
        <v>15888.51</v>
      </c>
    </row>
    <row r="20" spans="1:6">
      <c r="A20" s="37" t="s">
        <v>26</v>
      </c>
      <c r="B20" s="55" t="s">
        <v>45</v>
      </c>
      <c r="C20" s="52">
        <f>'[7]MATERIAL '!H10</f>
        <v>66</v>
      </c>
      <c r="D20" s="52" t="s">
        <v>11</v>
      </c>
      <c r="E20" s="43">
        <f>[7]ESTIMATE!I68</f>
        <v>447.06</v>
      </c>
      <c r="F20" s="44">
        <f>ROUND(C20*E20,2)</f>
        <v>29505.96</v>
      </c>
    </row>
    <row r="21" spans="1:6">
      <c r="A21" s="37" t="s">
        <v>28</v>
      </c>
      <c r="B21" s="55" t="s">
        <v>29</v>
      </c>
      <c r="C21" s="97">
        <f>'[7]MATERIAL '!C5</f>
        <v>59.71</v>
      </c>
      <c r="D21" s="52" t="s">
        <v>11</v>
      </c>
      <c r="E21" s="43">
        <f>[7]ESTIMATE!I69</f>
        <v>679.66</v>
      </c>
      <c r="F21" s="44">
        <f>ROUND(C21*E21,2)</f>
        <v>40582.5</v>
      </c>
    </row>
    <row r="22" spans="1:6">
      <c r="A22" s="37" t="s">
        <v>30</v>
      </c>
      <c r="B22" s="98" t="s">
        <v>31</v>
      </c>
      <c r="C22" s="52">
        <f>'[7]MATERIAL '!C3</f>
        <v>175.75</v>
      </c>
      <c r="D22" s="52" t="s">
        <v>11</v>
      </c>
      <c r="E22" s="43">
        <f>[7]ESTIMATE!I70</f>
        <v>117.54</v>
      </c>
      <c r="F22" s="44">
        <f>ROUND(C22*E22,2)</f>
        <v>20657.66</v>
      </c>
    </row>
    <row r="23" spans="1:6">
      <c r="A23" s="56"/>
      <c r="B23" s="57"/>
      <c r="C23" s="246" t="s">
        <v>46</v>
      </c>
      <c r="D23" s="247"/>
      <c r="E23" s="248"/>
      <c r="F23" s="44">
        <f>SUM(F5:F22)</f>
        <v>714676.84</v>
      </c>
    </row>
    <row r="24" spans="1:6">
      <c r="A24" s="56"/>
      <c r="B24" s="57"/>
      <c r="C24" s="240" t="s">
        <v>47</v>
      </c>
      <c r="D24" s="241"/>
      <c r="E24" s="242"/>
      <c r="F24" s="44">
        <f>F23*18%</f>
        <v>128641.83119999999</v>
      </c>
    </row>
    <row r="25" spans="1:6">
      <c r="A25" s="56"/>
      <c r="B25" s="57"/>
      <c r="C25" s="246" t="s">
        <v>46</v>
      </c>
      <c r="D25" s="247"/>
      <c r="E25" s="248"/>
      <c r="F25" s="44">
        <f>SUM(F23+F24)</f>
        <v>843318.67119999998</v>
      </c>
    </row>
    <row r="26" spans="1:6">
      <c r="A26" s="56"/>
      <c r="B26" s="57"/>
      <c r="C26" s="237" t="s">
        <v>48</v>
      </c>
      <c r="D26" s="238"/>
      <c r="E26" s="239"/>
      <c r="F26" s="44">
        <f>F25*1%</f>
        <v>8433.1867120000006</v>
      </c>
    </row>
    <row r="27" spans="1:6">
      <c r="A27" s="56"/>
      <c r="B27" s="57"/>
      <c r="C27" s="240" t="s">
        <v>46</v>
      </c>
      <c r="D27" s="241"/>
      <c r="E27" s="242"/>
      <c r="F27" s="44">
        <f>SUM(F25:F26)</f>
        <v>851751.85791200004</v>
      </c>
    </row>
    <row r="28" spans="1:6">
      <c r="A28" s="56"/>
      <c r="B28" s="57"/>
      <c r="C28" s="240" t="s">
        <v>49</v>
      </c>
      <c r="D28" s="241"/>
      <c r="E28" s="242"/>
      <c r="F28" s="44">
        <v>851752</v>
      </c>
    </row>
    <row r="29" spans="1:6">
      <c r="A29" s="58"/>
      <c r="B29" s="59"/>
      <c r="C29" s="60"/>
      <c r="D29" s="60"/>
      <c r="E29" s="61"/>
      <c r="F29" s="62"/>
    </row>
    <row r="30" spans="1:6">
      <c r="A30" s="63"/>
      <c r="B30" s="64"/>
      <c r="C30" s="65"/>
      <c r="D30" s="65"/>
      <c r="E30" s="66"/>
      <c r="F30" s="62"/>
    </row>
    <row r="31" spans="1:6">
      <c r="A31" s="63"/>
      <c r="B31" s="64"/>
      <c r="C31" s="65"/>
      <c r="D31" s="65"/>
      <c r="E31" s="66"/>
      <c r="F31" s="62"/>
    </row>
    <row r="32" spans="1:6">
      <c r="A32" s="63"/>
      <c r="B32" s="67" t="s">
        <v>61</v>
      </c>
      <c r="C32" s="65"/>
      <c r="D32" s="65"/>
      <c r="E32" s="66"/>
      <c r="F32" s="63" t="s">
        <v>62</v>
      </c>
    </row>
    <row r="33" spans="1:6">
      <c r="A33" s="63"/>
      <c r="B33" s="67" t="s">
        <v>63</v>
      </c>
      <c r="C33" s="65"/>
      <c r="D33" s="65"/>
      <c r="E33" s="66"/>
      <c r="F33" s="63" t="s">
        <v>63</v>
      </c>
    </row>
  </sheetData>
  <mergeCells count="9">
    <mergeCell ref="C26:E26"/>
    <mergeCell ref="C27:E27"/>
    <mergeCell ref="C28:E28"/>
    <mergeCell ref="A1:F1"/>
    <mergeCell ref="A2:F2"/>
    <mergeCell ref="A3:F3"/>
    <mergeCell ref="C23:E23"/>
    <mergeCell ref="C24:E24"/>
    <mergeCell ref="C25:E25"/>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0000"/>
  </sheetPr>
  <dimension ref="A1"/>
  <sheetViews>
    <sheetView topLeftCell="A4" workbookViewId="0">
      <selection activeCell="A4" sqref="A1:XFD1048576"/>
    </sheetView>
  </sheetViews>
  <sheetFormatPr defaultRowHeight="63.75" customHeight="1"/>
  <cols>
    <col min="1" max="16384" width="8.796875" style="9"/>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2022-12-06T10:14:19Z</dcterms:created>
  <dcterms:modified xsi:type="dcterms:W3CDTF">2023-01-10T14:20:26Z</dcterms:modified>
</cp:coreProperties>
</file>