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activeTab="3"/>
  </bookViews>
  <sheets>
    <sheet name="Sheet1" sheetId="1" r:id="rId1"/>
    <sheet name="Sheet2" sheetId="2" r:id="rId2"/>
    <sheet name="Sheet3" sheetId="3" r:id="rId3"/>
    <sheet name="Sheet4" sheetId="4" r:id="rId4"/>
  </sheets>
  <definedNames>
    <definedName name="_xlnm.Print_Area" localSheetId="0">Sheet1!$A$1:$J$51</definedName>
    <definedName name="_xlnm.Print_Area" localSheetId="3">Sheet4!$A$1:$F$22</definedName>
  </definedNames>
  <calcPr calcId="124519"/>
</workbook>
</file>

<file path=xl/calcChain.xml><?xml version="1.0" encoding="utf-8"?>
<calcChain xmlns="http://schemas.openxmlformats.org/spreadsheetml/2006/main">
  <c r="F9" i="4"/>
  <c r="F10"/>
  <c r="F16"/>
  <c r="F5"/>
  <c r="C11"/>
  <c r="F11" s="1"/>
  <c r="C10"/>
  <c r="C9"/>
  <c r="C8"/>
  <c r="F8" s="1"/>
  <c r="C7"/>
  <c r="F7" s="1"/>
  <c r="C6"/>
  <c r="F6" s="1"/>
  <c r="C5"/>
  <c r="E10"/>
  <c r="C16"/>
  <c r="C15"/>
  <c r="F15" s="1"/>
  <c r="C14"/>
  <c r="F14" s="1"/>
  <c r="C13"/>
  <c r="F13" s="1"/>
  <c r="G36" i="1"/>
  <c r="J36" s="1"/>
  <c r="F26"/>
  <c r="E26"/>
  <c r="G26" s="1"/>
  <c r="F25"/>
  <c r="E25"/>
  <c r="G25" s="1"/>
  <c r="G20"/>
  <c r="G6"/>
  <c r="E13" l="1"/>
  <c r="E14" s="1"/>
  <c r="G14" s="1"/>
  <c r="D13"/>
  <c r="C15"/>
  <c r="G15" s="1"/>
  <c r="E19"/>
  <c r="D19"/>
  <c r="D24" s="1"/>
  <c r="C28"/>
  <c r="C27"/>
  <c r="G28"/>
  <c r="D34"/>
  <c r="G34" s="1"/>
  <c r="G35" s="1"/>
  <c r="G32"/>
  <c r="J32" s="1"/>
  <c r="G9"/>
  <c r="F17" i="4" l="1"/>
  <c r="G27" i="1"/>
  <c r="F19" i="4" l="1"/>
  <c r="F20" s="1"/>
  <c r="F21" s="1"/>
  <c r="F18"/>
  <c r="G7" i="1"/>
  <c r="G8"/>
  <c r="E24"/>
  <c r="I35"/>
  <c r="J35" l="1"/>
  <c r="F13" l="1"/>
  <c r="F24"/>
  <c r="G5" l="1"/>
  <c r="G10" s="1"/>
  <c r="G24" l="1"/>
  <c r="G29" s="1"/>
  <c r="G13"/>
  <c r="G16" s="1"/>
  <c r="G19" l="1"/>
  <c r="G21" s="1"/>
  <c r="G22" l="1"/>
  <c r="G11"/>
  <c r="G17"/>
  <c r="J22" l="1"/>
  <c r="J11"/>
  <c r="G30"/>
  <c r="C3" i="2"/>
  <c r="H3" s="1"/>
  <c r="H6" s="1"/>
  <c r="G41" i="1" l="1"/>
  <c r="J41" s="1"/>
  <c r="J30"/>
  <c r="C5" i="2"/>
  <c r="J17" i="1"/>
  <c r="C4" i="2"/>
  <c r="D5" l="1"/>
  <c r="F5" s="1"/>
  <c r="G5" s="1"/>
  <c r="G6" s="1"/>
  <c r="E4"/>
  <c r="E6" l="1"/>
  <c r="D6"/>
  <c r="G39" i="1"/>
  <c r="J39" s="1"/>
  <c r="G40"/>
  <c r="J40" s="1"/>
  <c r="F6" i="2"/>
  <c r="C6" i="3" s="1"/>
  <c r="G38" i="1" l="1"/>
  <c r="J38" s="1"/>
  <c r="J42" s="1"/>
  <c r="J43" s="1"/>
  <c r="J44" l="1"/>
  <c r="J45" l="1"/>
  <c r="J46" s="1"/>
</calcChain>
</file>

<file path=xl/sharedStrings.xml><?xml version="1.0" encoding="utf-8"?>
<sst xmlns="http://schemas.openxmlformats.org/spreadsheetml/2006/main" count="166" uniqueCount="77">
  <si>
    <t>RANCHI MUNICIPAL CORPORATION, RANCHI</t>
  </si>
  <si>
    <t>Sl. No.</t>
  </si>
  <si>
    <t>Items of work</t>
  </si>
  <si>
    <t>Nos</t>
  </si>
  <si>
    <t>Length</t>
  </si>
  <si>
    <t>Width</t>
  </si>
  <si>
    <t>Height/Depth</t>
  </si>
  <si>
    <t>Qnty.</t>
  </si>
  <si>
    <t>Unit</t>
  </si>
  <si>
    <t>Rate</t>
  </si>
  <si>
    <t>Amount</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</si>
  <si>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</si>
  <si>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cft</t>
  </si>
  <si>
    <t>Total</t>
  </si>
  <si>
    <t>or</t>
  </si>
  <si>
    <t>m3</t>
  </si>
  <si>
    <t>Carriage of Materials</t>
  </si>
  <si>
    <t>(i)</t>
  </si>
  <si>
    <t>(ii)</t>
  </si>
  <si>
    <t>(iii)</t>
  </si>
  <si>
    <t>(iv)</t>
  </si>
  <si>
    <t>Earth (Lead 01 KM)</t>
  </si>
  <si>
    <t>Add 1% Labour Cess (+)</t>
  </si>
  <si>
    <t>G. Total</t>
  </si>
  <si>
    <t xml:space="preserve">                   J.E.                            A.E.                                   E.E.</t>
  </si>
  <si>
    <t>Material Statement</t>
  </si>
  <si>
    <t>Sl.No.</t>
  </si>
  <si>
    <t xml:space="preserve">Items of works </t>
  </si>
  <si>
    <t>Quantity</t>
  </si>
  <si>
    <t>Cement (m3)</t>
  </si>
  <si>
    <t>Sand(m3)</t>
  </si>
  <si>
    <t>Stone Chips (m3)</t>
  </si>
  <si>
    <t>Earth (m3)</t>
  </si>
  <si>
    <t>Earth work in excavation</t>
  </si>
  <si>
    <t>Sand filling in foundation</t>
  </si>
  <si>
    <t xml:space="preserve">                  J.E.                                                             A.E.                                               E.E.</t>
  </si>
  <si>
    <r>
      <t>M</t>
    </r>
    <r>
      <rPr>
        <vertAlign val="superscript"/>
        <sz val="10"/>
        <rFont val="Century"/>
        <family val="1"/>
      </rPr>
      <t>3</t>
    </r>
  </si>
  <si>
    <t>Sand Local  (m3)</t>
  </si>
  <si>
    <t>Sft</t>
  </si>
  <si>
    <t xml:space="preserve">1.            5.1.1 </t>
  </si>
  <si>
    <t>2.       Sl.No.4 M-004 P.No.36 BCD</t>
  </si>
  <si>
    <t>Add 18% GST (+)</t>
  </si>
  <si>
    <t>Stone Crusher Dust finer than 3 mm with not more than 10% Passing 0.075 sieve at quarry.        Baasic Rate  = 300.00                     add 15.95%(C.P+O.H+W.C.)=347.85</t>
  </si>
  <si>
    <t>m2</t>
  </si>
  <si>
    <t>Eadge Packing of Paver Block:</t>
  </si>
  <si>
    <t>Providing and laying80 mm Thick factory made  Cement Concrete paver block of M-40 grade made by block making Machine with strong vibretory compaction of approve size,design  and shape ,laid in rerequired collour and pattern over bed as per revalent IRC Code ,filling the joints with fine sand etc all complete as per direction of Engineer -in -Charge.</t>
  </si>
  <si>
    <t>3    4.23 (B)</t>
  </si>
  <si>
    <r>
      <t xml:space="preserve">Providing and Layng in Position cement concrete of specified grade excluding the cost of centring and shuttering……All work Upto plinth Level:                       </t>
    </r>
    <r>
      <rPr>
        <b/>
        <sz val="10"/>
        <color theme="1"/>
        <rFont val="Century"/>
        <family val="1"/>
      </rPr>
      <t>1:2:4 (1 Cement :2 Coarse Cement sand  (Zone III): 4 Graded stone agregate 20 mm nominal Size)</t>
    </r>
  </si>
  <si>
    <t>4. 5.3.1.2</t>
  </si>
  <si>
    <t>P.C.C(1:2:4)</t>
  </si>
  <si>
    <r>
      <t xml:space="preserve">Finishing walls with Premium </t>
    </r>
    <r>
      <rPr>
        <b/>
        <sz val="11"/>
        <rFont val="Arial"/>
        <family val="2"/>
      </rPr>
      <t>Acrylic Smooth exterior paint</t>
    </r>
    <r>
      <rPr>
        <sz val="11"/>
        <rFont val="Arial"/>
        <family val="2"/>
      </rPr>
      <t xml:space="preserve"> with silicone additives "Snowcryl - XT" of M/S Snowcem India Ltd, or equivalent of required shade.New work (Two or more coats applied @1.43 ltr / 10sqm. Over and including base coat of water proofing cement paint Snowcem Plus or equivalent applied @ 2.20 kg./10 sq.m. )</t>
    </r>
  </si>
  <si>
    <t>sft</t>
  </si>
  <si>
    <t>6      13.47.1/ D.S.R</t>
  </si>
  <si>
    <t>Plantation Area</t>
  </si>
  <si>
    <t>(Volume of one bollard =3.14x0.833x0.833x0.25=..55Cft)</t>
  </si>
  <si>
    <t>Cft</t>
  </si>
  <si>
    <t>Providing and fixing 150mm dia. and overall length 950mm Cement concrete Bollard made with cement concrete of M30 grade by vibro compaction method and steel using 4 - tor 8mm vertcally with 4mm stirrups @ 150 c/c spacing, smooth finishes as per approved design and sample, fixed on ground with p.c.c. m15 300x300x250mm deep including cutting of existing p.c.c. floor with all complete.</t>
  </si>
  <si>
    <t>(Volume of one bollard =3.14x0.833x0.833x0.2=.44Cft)</t>
  </si>
  <si>
    <t>Deduction(Volume of one Bollard=3.14x0.25x0.25x0.2=.04Cft)</t>
  </si>
  <si>
    <t>(Volume of one bollard =3.14x0.833x0.833x0.25=0.81Cft)</t>
  </si>
  <si>
    <t>Paver block l:</t>
  </si>
  <si>
    <t xml:space="preserve">5.            N.S. </t>
  </si>
  <si>
    <t>Paver block:</t>
  </si>
  <si>
    <t>for Bench</t>
  </si>
  <si>
    <t>Providing and fixing L-shape supporting with base  R.C. planks  RCC M30 and PU mould including all complete job.</t>
  </si>
  <si>
    <t>Each</t>
  </si>
  <si>
    <t>7.            Aproved Rate</t>
  </si>
  <si>
    <t>Sand  (Lead Upto 49 km)</t>
  </si>
  <si>
    <t>Stone Dust (Lead 22 KM)</t>
  </si>
  <si>
    <t>Stone Chips (Lead 22 KM)</t>
  </si>
  <si>
    <t>Abstract of Cost</t>
  </si>
  <si>
    <r>
      <rPr>
        <b/>
        <sz val="11"/>
        <color theme="1"/>
        <rFont val="Century"/>
        <family val="1"/>
      </rPr>
      <t>Name of Work</t>
    </r>
    <r>
      <rPr>
        <sz val="11"/>
        <color theme="1"/>
        <rFont val="Century"/>
        <family val="1"/>
      </rPr>
      <t xml:space="preserve"> :- Providing and Fixing Cement Concrte Bench and Cement Concrete Bollard at Near Birsa Munda Samadhi Sthal Lalpur Under RMC Area.</t>
    </r>
  </si>
  <si>
    <t>Providing and Fixing Cement Concrte Bench and Cement Concrete Bollard at Near Birsa Munda Samadhi Sthal Lalpur Under RMC Area.</t>
  </si>
  <si>
    <t>Name of work</t>
  </si>
  <si>
    <t>Say Rs:</t>
  </si>
  <si>
    <t>Landscaping and Plantation Work At Near Birsa Munda Samadhi Sthal Lalpur Under RMC Area.</t>
  </si>
  <si>
    <t>BILL OF QUANTITY</t>
  </si>
</sst>
</file>

<file path=xl/styles.xml><?xml version="1.0" encoding="utf-8"?>
<styleSheet xmlns="http://schemas.openxmlformats.org/spreadsheetml/2006/main">
  <numFmts count="1">
    <numFmt numFmtId="164" formatCode="0.0"/>
  </numFmts>
  <fonts count="23">
    <font>
      <sz val="11"/>
      <color theme="1"/>
      <name val="Calibri"/>
      <family val="2"/>
      <scheme val="minor"/>
    </font>
    <font>
      <b/>
      <sz val="11"/>
      <color theme="1"/>
      <name val="Calibri"/>
      <family val="2"/>
      <scheme val="minor"/>
    </font>
    <font>
      <sz val="10"/>
      <color theme="1"/>
      <name val="Century"/>
      <family val="1"/>
    </font>
    <font>
      <sz val="10"/>
      <color theme="1"/>
      <name val="Calibri"/>
      <family val="2"/>
      <scheme val="minor"/>
    </font>
    <font>
      <sz val="11"/>
      <color theme="1"/>
      <name val="Century"/>
      <family val="1"/>
    </font>
    <font>
      <b/>
      <sz val="11"/>
      <color theme="1"/>
      <name val="Century"/>
      <family val="1"/>
    </font>
    <font>
      <b/>
      <sz val="10"/>
      <color theme="1"/>
      <name val="Century"/>
      <family val="1"/>
    </font>
    <font>
      <b/>
      <sz val="12"/>
      <color theme="1"/>
      <name val="Century"/>
      <family val="1"/>
    </font>
    <font>
      <sz val="20"/>
      <color theme="1"/>
      <name val="Calibri"/>
      <family val="2"/>
      <scheme val="minor"/>
    </font>
    <font>
      <u/>
      <sz val="22"/>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0"/>
      <name val="Century"/>
      <family val="1"/>
    </font>
    <font>
      <vertAlign val="superscript"/>
      <sz val="10"/>
      <name val="Century"/>
      <family val="1"/>
    </font>
    <font>
      <sz val="10.5"/>
      <color theme="1"/>
      <name val="Century"/>
      <family val="1"/>
    </font>
    <font>
      <sz val="18"/>
      <color theme="1"/>
      <name val="Century"/>
      <family val="1"/>
    </font>
    <font>
      <sz val="9"/>
      <color theme="1"/>
      <name val="Century"/>
      <family val="1"/>
    </font>
    <font>
      <sz val="11"/>
      <name val="Arial"/>
      <family val="2"/>
    </font>
    <font>
      <b/>
      <sz val="11"/>
      <name val="Arial"/>
      <family val="2"/>
    </font>
    <font>
      <sz val="10"/>
      <name val="Arial"/>
      <family val="2"/>
    </font>
    <font>
      <sz val="16"/>
      <color theme="1"/>
      <name val="Century"/>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1" fillId="0" borderId="0"/>
  </cellStyleXfs>
  <cellXfs count="79">
    <xf numFmtId="0" fontId="0" fillId="0" borderId="0" xfId="0"/>
    <xf numFmtId="0" fontId="2" fillId="0" borderId="0" xfId="0" applyFont="1"/>
    <xf numFmtId="0" fontId="3" fillId="0" borderId="0" xfId="0" applyFont="1"/>
    <xf numFmtId="0" fontId="4"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top" wrapText="1"/>
    </xf>
    <xf numFmtId="2" fontId="6" fillId="0" borderId="1"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6" fillId="0" borderId="1" xfId="0" applyFont="1" applyBorder="1" applyAlignment="1">
      <alignment horizontal="center" vertical="center"/>
    </xf>
    <xf numFmtId="0" fontId="2" fillId="0" borderId="1" xfId="0" applyFont="1" applyBorder="1" applyAlignment="1">
      <alignment horizontal="right" vertical="top" wrapText="1"/>
    </xf>
    <xf numFmtId="0" fontId="6" fillId="0" borderId="1" xfId="0" applyFont="1" applyBorder="1" applyAlignment="1">
      <alignment horizontal="center" vertical="top"/>
    </xf>
    <xf numFmtId="2" fontId="6" fillId="0" borderId="1" xfId="0" applyNumberFormat="1" applyFont="1" applyBorder="1" applyAlignment="1">
      <alignment horizontal="center" vertical="top"/>
    </xf>
    <xf numFmtId="2" fontId="2" fillId="0" borderId="1" xfId="0" applyNumberFormat="1" applyFont="1" applyBorder="1" applyAlignment="1">
      <alignment horizontal="center" vertical="top"/>
    </xf>
    <xf numFmtId="0" fontId="2" fillId="0" borderId="1" xfId="0" applyFont="1" applyBorder="1" applyAlignment="1">
      <alignment horizontal="left" vertical="top" wrapText="1"/>
    </xf>
    <xf numFmtId="0" fontId="7" fillId="0" borderId="1" xfId="0" applyFont="1" applyBorder="1" applyAlignment="1">
      <alignment vertical="top"/>
    </xf>
    <xf numFmtId="0" fontId="2" fillId="0" borderId="1" xfId="0" applyFont="1" applyBorder="1" applyAlignment="1">
      <alignment vertical="top"/>
    </xf>
    <xf numFmtId="0" fontId="2" fillId="0" borderId="1" xfId="0" applyFont="1" applyBorder="1"/>
    <xf numFmtId="0" fontId="3" fillId="0" borderId="0" xfId="0" applyFont="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1" fontId="1" fillId="0" borderId="1" xfId="0" applyNumberFormat="1"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left" wrapText="1"/>
    </xf>
    <xf numFmtId="0" fontId="10" fillId="0" borderId="1" xfId="0" applyFont="1" applyBorder="1" applyAlignment="1">
      <alignment horizontal="center" vertical="top"/>
    </xf>
    <xf numFmtId="0" fontId="10" fillId="0" borderId="1" xfId="0" applyFont="1" applyFill="1" applyBorder="1" applyAlignment="1">
      <alignment horizontal="left" wrapText="1"/>
    </xf>
    <xf numFmtId="164" fontId="10" fillId="0" borderId="1" xfId="0" applyNumberFormat="1" applyFont="1" applyBorder="1" applyAlignment="1">
      <alignment horizontal="center"/>
    </xf>
    <xf numFmtId="0" fontId="12" fillId="0" borderId="1" xfId="0" applyFont="1" applyBorder="1" applyAlignment="1">
      <alignment horizontal="center"/>
    </xf>
    <xf numFmtId="2" fontId="2" fillId="0" borderId="1" xfId="0" applyNumberFormat="1" applyFont="1" applyBorder="1" applyAlignment="1">
      <alignment horizontal="center" vertical="top" wrapText="1"/>
    </xf>
    <xf numFmtId="0" fontId="14" fillId="0" borderId="1" xfId="0" applyFont="1" applyBorder="1" applyAlignment="1">
      <alignment horizontal="center"/>
    </xf>
    <xf numFmtId="0" fontId="2" fillId="0" borderId="1" xfId="0" applyFont="1" applyFill="1" applyBorder="1" applyAlignment="1">
      <alignment horizontal="center" vertical="top" wrapText="1"/>
    </xf>
    <xf numFmtId="0" fontId="1" fillId="0" borderId="1" xfId="0" applyFont="1" applyBorder="1" applyAlignment="1">
      <alignment horizontal="center"/>
    </xf>
    <xf numFmtId="0" fontId="6" fillId="0" borderId="1" xfId="0" applyFont="1" applyBorder="1" applyAlignment="1">
      <alignment horizontal="center" vertical="top" wrapText="1"/>
    </xf>
    <xf numFmtId="2" fontId="2" fillId="0" borderId="1" xfId="0" applyNumberFormat="1" applyFont="1" applyBorder="1" applyAlignment="1">
      <alignment horizontal="center" vertical="center"/>
    </xf>
    <xf numFmtId="2" fontId="3" fillId="0" borderId="0" xfId="0" applyNumberFormat="1" applyFont="1"/>
    <xf numFmtId="0" fontId="16" fillId="0" borderId="1" xfId="0" applyFont="1" applyBorder="1" applyAlignment="1">
      <alignment vertical="top" wrapText="1"/>
    </xf>
    <xf numFmtId="2" fontId="6" fillId="0" borderId="1" xfId="0" applyNumberFormat="1" applyFont="1" applyBorder="1" applyAlignment="1">
      <alignment horizontal="center" vertical="top" wrapText="1"/>
    </xf>
    <xf numFmtId="0" fontId="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top" wrapText="1"/>
    </xf>
    <xf numFmtId="0" fontId="2" fillId="0" borderId="0" xfId="0" applyFont="1" applyBorder="1" applyAlignment="1">
      <alignment horizontal="right" vertical="top" wrapText="1"/>
    </xf>
    <xf numFmtId="0" fontId="2" fillId="0" borderId="0" xfId="0" applyFont="1" applyBorder="1"/>
    <xf numFmtId="0" fontId="6" fillId="0" borderId="0" xfId="0" applyFont="1" applyBorder="1" applyAlignment="1">
      <alignment horizontal="right" vertical="top"/>
    </xf>
    <xf numFmtId="2" fontId="6" fillId="0" borderId="0" xfId="0" applyNumberFormat="1" applyFont="1" applyBorder="1" applyAlignment="1">
      <alignment horizontal="center" vertical="top"/>
    </xf>
    <xf numFmtId="0" fontId="21" fillId="0" borderId="1" xfId="1" applyNumberFormat="1" applyFont="1" applyFill="1" applyBorder="1" applyAlignment="1">
      <alignment vertical="top" wrapText="1"/>
    </xf>
    <xf numFmtId="2" fontId="2" fillId="0" borderId="1" xfId="0" applyNumberFormat="1" applyFont="1" applyBorder="1" applyAlignment="1">
      <alignment horizontal="center" vertical="center" wrapText="1"/>
    </xf>
    <xf numFmtId="0" fontId="18" fillId="0" borderId="1" xfId="0" applyFont="1" applyBorder="1" applyAlignment="1">
      <alignment horizontal="right" vertical="top" wrapText="1"/>
    </xf>
    <xf numFmtId="0" fontId="21" fillId="0" borderId="1" xfId="1" applyBorder="1" applyAlignment="1">
      <alignment vertical="top" wrapText="1"/>
    </xf>
    <xf numFmtId="0" fontId="0" fillId="0" borderId="0" xfId="0" applyFont="1"/>
    <xf numFmtId="2" fontId="5" fillId="0" borderId="1" xfId="0" applyNumberFormat="1" applyFont="1" applyBorder="1" applyAlignment="1">
      <alignment horizontal="center" vertical="center"/>
    </xf>
    <xf numFmtId="0" fontId="8" fillId="0" borderId="2" xfId="0" applyFont="1" applyBorder="1" applyAlignment="1"/>
    <xf numFmtId="0" fontId="5" fillId="0" borderId="2" xfId="0" applyFont="1" applyBorder="1" applyAlignment="1">
      <alignment horizontal="right" vertical="center"/>
    </xf>
    <xf numFmtId="2" fontId="11" fillId="0" borderId="1" xfId="0" applyNumberFormat="1"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vertical="top" wrapText="1"/>
    </xf>
    <xf numFmtId="0" fontId="11" fillId="0" borderId="3" xfId="0" applyFont="1" applyBorder="1" applyAlignment="1">
      <alignment horizontal="right"/>
    </xf>
    <xf numFmtId="0" fontId="17" fillId="0" borderId="0" xfId="0" applyFont="1" applyAlignment="1">
      <alignment horizontal="center"/>
    </xf>
    <xf numFmtId="0" fontId="4" fillId="0" borderId="1" xfId="0" applyFont="1" applyBorder="1" applyAlignment="1">
      <alignment horizontal="left" vertical="top" wrapText="1"/>
    </xf>
    <xf numFmtId="0" fontId="8" fillId="0" borderId="0" xfId="0" applyFont="1"/>
    <xf numFmtId="0" fontId="6" fillId="0" borderId="2" xfId="0" applyFont="1" applyBorder="1" applyAlignment="1">
      <alignment horizontal="right" vertical="top"/>
    </xf>
    <xf numFmtId="0" fontId="6" fillId="0" borderId="3" xfId="0" applyFont="1" applyBorder="1" applyAlignment="1">
      <alignment horizontal="right" vertical="top"/>
    </xf>
    <xf numFmtId="0" fontId="6" fillId="0" borderId="4" xfId="0" applyFont="1" applyBorder="1" applyAlignment="1">
      <alignment horizontal="right" vertical="top"/>
    </xf>
    <xf numFmtId="0" fontId="2" fillId="0" borderId="2" xfId="0" applyFont="1" applyBorder="1" applyAlignment="1">
      <alignment horizontal="right" vertical="top"/>
    </xf>
    <xf numFmtId="0" fontId="2" fillId="0" borderId="3" xfId="0" applyFont="1" applyBorder="1" applyAlignment="1">
      <alignment horizontal="right" vertical="top"/>
    </xf>
    <xf numFmtId="0" fontId="2" fillId="0" borderId="4" xfId="0" applyFont="1" applyBorder="1" applyAlignment="1">
      <alignment horizontal="right" vertical="top"/>
    </xf>
    <xf numFmtId="0" fontId="9" fillId="0" borderId="5" xfId="0" applyFont="1" applyBorder="1" applyAlignment="1">
      <alignment horizontal="center"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1" fillId="0" borderId="5" xfId="0" applyFont="1" applyBorder="1" applyAlignment="1">
      <alignment horizontal="right" vertical="center"/>
    </xf>
    <xf numFmtId="0" fontId="11" fillId="0" borderId="10" xfId="0" applyFont="1" applyBorder="1" applyAlignment="1">
      <alignment horizontal="right" vertical="center"/>
    </xf>
    <xf numFmtId="0" fontId="13" fillId="0" borderId="0" xfId="0" applyFont="1"/>
    <xf numFmtId="0" fontId="17" fillId="2" borderId="1" xfId="0" applyFont="1" applyFill="1" applyBorder="1" applyAlignment="1">
      <alignment horizontal="center"/>
    </xf>
    <xf numFmtId="0" fontId="22" fillId="0" borderId="1" xfId="0" applyFont="1" applyBorder="1" applyAlignment="1">
      <alignment horizontal="center"/>
    </xf>
    <xf numFmtId="0" fontId="17" fillId="3" borderId="5" xfId="0" applyFont="1" applyFill="1" applyBorder="1" applyAlignment="1">
      <alignment horizontal="center" vertical="center"/>
    </xf>
    <xf numFmtId="2" fontId="6" fillId="0" borderId="1" xfId="0" applyNumberFormat="1"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58"/>
  <sheetViews>
    <sheetView topLeftCell="A34" workbookViewId="0">
      <selection activeCell="B59" sqref="B59"/>
    </sheetView>
  </sheetViews>
  <sheetFormatPr defaultRowHeight="63.75" customHeight="1"/>
  <cols>
    <col min="1" max="1" width="6.140625" style="2" customWidth="1"/>
    <col min="2" max="2" width="30.42578125" style="2" customWidth="1"/>
    <col min="3" max="3" width="5.28515625" style="2" customWidth="1"/>
    <col min="4" max="4" width="8.140625" style="2" customWidth="1"/>
    <col min="5" max="5" width="6.5703125" style="2" customWidth="1"/>
    <col min="6" max="6" width="7.140625" style="2" customWidth="1"/>
    <col min="7" max="7" width="9.5703125" style="2" bestFit="1" customWidth="1"/>
    <col min="8" max="8" width="5.28515625" style="2" customWidth="1"/>
    <col min="9" max="9" width="8.28515625" style="2" customWidth="1"/>
    <col min="10" max="10" width="13.140625" style="2" customWidth="1"/>
    <col min="11" max="16384" width="9.140625" style="2"/>
  </cols>
  <sheetData>
    <row r="1" spans="1:11" ht="22.5">
      <c r="B1" s="58" t="s">
        <v>0</v>
      </c>
      <c r="C1" s="58"/>
      <c r="D1" s="58"/>
      <c r="E1" s="58"/>
      <c r="F1" s="58"/>
      <c r="G1" s="58"/>
      <c r="H1" s="58"/>
      <c r="I1" s="58"/>
      <c r="J1" s="58"/>
    </row>
    <row r="2" spans="1:11" ht="36" customHeight="1">
      <c r="A2" s="18"/>
      <c r="B2" s="59" t="s">
        <v>71</v>
      </c>
      <c r="C2" s="59"/>
      <c r="D2" s="59"/>
      <c r="E2" s="59"/>
      <c r="F2" s="59"/>
      <c r="G2" s="59"/>
      <c r="H2" s="59"/>
      <c r="I2" s="59"/>
      <c r="J2" s="59"/>
      <c r="K2" s="3"/>
    </row>
    <row r="3" spans="1:11" ht="30" customHeight="1">
      <c r="A3" s="4" t="s">
        <v>1</v>
      </c>
      <c r="B3" s="4" t="s">
        <v>2</v>
      </c>
      <c r="C3" s="4" t="s">
        <v>3</v>
      </c>
      <c r="D3" s="4" t="s">
        <v>4</v>
      </c>
      <c r="E3" s="4" t="s">
        <v>5</v>
      </c>
      <c r="F3" s="4" t="s">
        <v>6</v>
      </c>
      <c r="G3" s="4" t="s">
        <v>7</v>
      </c>
      <c r="H3" s="4" t="s">
        <v>8</v>
      </c>
      <c r="I3" s="4" t="s">
        <v>9</v>
      </c>
      <c r="J3" s="5" t="s">
        <v>10</v>
      </c>
      <c r="K3" s="1"/>
    </row>
    <row r="4" spans="1:11" ht="193.5" customHeight="1">
      <c r="A4" s="4" t="s">
        <v>39</v>
      </c>
      <c r="B4" s="6" t="s">
        <v>11</v>
      </c>
      <c r="C4" s="8"/>
      <c r="D4" s="8"/>
      <c r="E4" s="8"/>
      <c r="F4" s="8"/>
      <c r="G4" s="9"/>
      <c r="H4" s="9"/>
      <c r="I4" s="9"/>
      <c r="J4" s="10"/>
      <c r="K4" s="1"/>
    </row>
    <row r="5" spans="1:11" ht="23.25" customHeight="1">
      <c r="A5" s="4"/>
      <c r="B5" s="11" t="s">
        <v>62</v>
      </c>
      <c r="C5" s="8">
        <v>1</v>
      </c>
      <c r="D5" s="8">
        <v>40</v>
      </c>
      <c r="E5" s="8">
        <v>20</v>
      </c>
      <c r="F5" s="29">
        <v>0.5</v>
      </c>
      <c r="G5" s="14">
        <f>ROUND(F5*E5*D5*C5,2)</f>
        <v>400</v>
      </c>
      <c r="H5" s="9" t="s">
        <v>12</v>
      </c>
      <c r="I5" s="9"/>
      <c r="J5" s="10"/>
      <c r="K5" s="1"/>
    </row>
    <row r="6" spans="1:11" ht="23.25" customHeight="1">
      <c r="A6" s="4"/>
      <c r="B6" s="47" t="s">
        <v>63</v>
      </c>
      <c r="C6" s="4">
        <v>6</v>
      </c>
      <c r="D6" s="4">
        <v>6.25</v>
      </c>
      <c r="E6" s="4">
        <v>4.25</v>
      </c>
      <c r="F6" s="4">
        <v>0.5</v>
      </c>
      <c r="G6" s="4">
        <f>F6*E6*D6*C6</f>
        <v>79.6875</v>
      </c>
      <c r="H6" s="4" t="s">
        <v>55</v>
      </c>
      <c r="I6" s="9"/>
      <c r="J6" s="10"/>
      <c r="K6" s="1"/>
    </row>
    <row r="7" spans="1:11" ht="23.25" customHeight="1">
      <c r="A7" s="4"/>
      <c r="B7" s="11" t="s">
        <v>53</v>
      </c>
      <c r="C7" s="8">
        <v>1</v>
      </c>
      <c r="D7" s="8">
        <v>35</v>
      </c>
      <c r="E7" s="8">
        <v>100</v>
      </c>
      <c r="F7" s="29">
        <v>1</v>
      </c>
      <c r="G7" s="14">
        <f t="shared" ref="G7:G8" si="0">ROUND(F7*E7*D7*C7,2)</f>
        <v>3500</v>
      </c>
      <c r="H7" s="9"/>
      <c r="I7" s="9"/>
      <c r="J7" s="10"/>
      <c r="K7" s="1"/>
    </row>
    <row r="8" spans="1:11" ht="23.25" customHeight="1">
      <c r="A8" s="4"/>
      <c r="B8" s="11"/>
      <c r="C8" s="8">
        <v>1</v>
      </c>
      <c r="D8" s="8">
        <v>35</v>
      </c>
      <c r="E8" s="8">
        <v>130</v>
      </c>
      <c r="F8" s="29">
        <v>1</v>
      </c>
      <c r="G8" s="14">
        <f t="shared" si="0"/>
        <v>4550</v>
      </c>
      <c r="H8" s="9" t="s">
        <v>12</v>
      </c>
      <c r="I8" s="9"/>
      <c r="J8" s="10"/>
      <c r="K8" s="1"/>
    </row>
    <row r="9" spans="1:11" ht="27">
      <c r="A9" s="4"/>
      <c r="B9" s="40" t="s">
        <v>59</v>
      </c>
      <c r="C9" s="4">
        <v>180</v>
      </c>
      <c r="D9" s="4">
        <v>0.81</v>
      </c>
      <c r="E9" s="4"/>
      <c r="F9" s="4"/>
      <c r="G9" s="4">
        <f>D9*C9</f>
        <v>145.80000000000001</v>
      </c>
      <c r="H9" s="4" t="s">
        <v>55</v>
      </c>
      <c r="I9" s="9"/>
      <c r="J9" s="10"/>
      <c r="K9" s="1"/>
    </row>
    <row r="10" spans="1:11" ht="23.25" customHeight="1">
      <c r="A10" s="4"/>
      <c r="B10" s="11"/>
      <c r="C10" s="8"/>
      <c r="D10" s="8"/>
      <c r="E10" s="8"/>
      <c r="F10" s="29" t="s">
        <v>13</v>
      </c>
      <c r="G10" s="14">
        <f>SUM(G5:G9)</f>
        <v>8675.4874999999993</v>
      </c>
      <c r="H10" s="9" t="s">
        <v>12</v>
      </c>
      <c r="I10" s="9"/>
      <c r="J10" s="10"/>
      <c r="K10" s="1"/>
    </row>
    <row r="11" spans="1:11" ht="19.5" customHeight="1">
      <c r="A11" s="4"/>
      <c r="B11" s="6"/>
      <c r="C11" s="8"/>
      <c r="D11" s="8"/>
      <c r="E11" s="8"/>
      <c r="F11" s="8" t="s">
        <v>14</v>
      </c>
      <c r="G11" s="12">
        <f>ROUNDUP(G10/35.31,2)</f>
        <v>245.7</v>
      </c>
      <c r="H11" s="9" t="s">
        <v>15</v>
      </c>
      <c r="I11" s="9">
        <v>151.82</v>
      </c>
      <c r="J11" s="13">
        <f>ROUND(G11*I11,0)</f>
        <v>37302</v>
      </c>
      <c r="K11" s="1"/>
    </row>
    <row r="12" spans="1:11" ht="117" customHeight="1">
      <c r="A12" s="4" t="s">
        <v>40</v>
      </c>
      <c r="B12" s="36" t="s">
        <v>42</v>
      </c>
      <c r="C12" s="8"/>
      <c r="D12" s="8"/>
      <c r="E12" s="8"/>
      <c r="F12" s="8"/>
      <c r="G12" s="9"/>
      <c r="H12" s="9"/>
      <c r="I12" s="9"/>
      <c r="J12" s="10"/>
      <c r="K12" s="1"/>
    </row>
    <row r="13" spans="1:11" ht="23.25" customHeight="1">
      <c r="A13" s="4"/>
      <c r="B13" s="11" t="s">
        <v>60</v>
      </c>
      <c r="C13" s="8">
        <v>1</v>
      </c>
      <c r="D13" s="8">
        <f>D5</f>
        <v>40</v>
      </c>
      <c r="E13" s="8">
        <f>E5</f>
        <v>20</v>
      </c>
      <c r="F13" s="8">
        <f>2/12</f>
        <v>0.16666666666666666</v>
      </c>
      <c r="G13" s="14">
        <f>PRODUCT(C13:F13)</f>
        <v>133.33333333333331</v>
      </c>
      <c r="H13" s="9" t="s">
        <v>12</v>
      </c>
      <c r="I13" s="9"/>
      <c r="J13" s="10"/>
      <c r="K13" s="1"/>
    </row>
    <row r="14" spans="1:11" ht="23.25" customHeight="1">
      <c r="A14" s="4"/>
      <c r="B14" s="11"/>
      <c r="C14" s="4">
        <v>6</v>
      </c>
      <c r="D14" s="4">
        <v>6.25</v>
      </c>
      <c r="E14" s="4">
        <f>E13</f>
        <v>20</v>
      </c>
      <c r="F14" s="4">
        <v>0.25</v>
      </c>
      <c r="G14" s="4">
        <f>ROUND(F14*E14*D14*C14,2)</f>
        <v>187.5</v>
      </c>
      <c r="H14" s="4" t="s">
        <v>55</v>
      </c>
      <c r="I14" s="9"/>
      <c r="J14" s="10"/>
      <c r="K14" s="1"/>
    </row>
    <row r="15" spans="1:11" ht="27">
      <c r="A15" s="4"/>
      <c r="B15" s="40" t="s">
        <v>54</v>
      </c>
      <c r="C15" s="4">
        <f>C9</f>
        <v>180</v>
      </c>
      <c r="D15" s="4">
        <v>0.55000000000000004</v>
      </c>
      <c r="E15" s="4"/>
      <c r="F15" s="4"/>
      <c r="G15" s="4">
        <f>D15*C15</f>
        <v>99.000000000000014</v>
      </c>
      <c r="H15" s="4" t="s">
        <v>55</v>
      </c>
      <c r="I15" s="9"/>
      <c r="J15" s="10"/>
      <c r="K15" s="1"/>
    </row>
    <row r="16" spans="1:11" ht="23.25" customHeight="1">
      <c r="A16" s="4"/>
      <c r="B16" s="11"/>
      <c r="C16" s="8"/>
      <c r="D16" s="8"/>
      <c r="E16" s="8"/>
      <c r="F16" s="29" t="s">
        <v>13</v>
      </c>
      <c r="G16" s="14">
        <f>SUM(G13:G15)</f>
        <v>419.83333333333331</v>
      </c>
      <c r="H16" s="9" t="s">
        <v>12</v>
      </c>
      <c r="I16" s="9"/>
      <c r="J16" s="10"/>
      <c r="K16" s="1"/>
    </row>
    <row r="17" spans="1:11" ht="16.5" customHeight="1">
      <c r="A17" s="4"/>
      <c r="B17" s="6"/>
      <c r="C17" s="8"/>
      <c r="D17" s="8"/>
      <c r="E17" s="8"/>
      <c r="F17" s="8" t="s">
        <v>14</v>
      </c>
      <c r="G17" s="12">
        <f>ROUNDUP(G16/35.31,2)</f>
        <v>11.89</v>
      </c>
      <c r="H17" s="9" t="s">
        <v>15</v>
      </c>
      <c r="I17" s="33">
        <v>347.85</v>
      </c>
      <c r="J17" s="13">
        <f>ROUND(G17*I17,0)</f>
        <v>4136</v>
      </c>
      <c r="K17" s="1"/>
    </row>
    <row r="18" spans="1:11" ht="108" customHeight="1">
      <c r="A18" s="39" t="s">
        <v>46</v>
      </c>
      <c r="B18" s="40" t="s">
        <v>45</v>
      </c>
      <c r="C18" s="8"/>
      <c r="D18" s="8"/>
      <c r="E18" s="8"/>
      <c r="F18" s="8"/>
      <c r="G18" s="9"/>
      <c r="H18" s="9"/>
      <c r="I18" s="9"/>
      <c r="J18" s="10"/>
      <c r="K18" s="1"/>
    </row>
    <row r="19" spans="1:11" ht="23.25" customHeight="1">
      <c r="A19" s="4"/>
      <c r="B19" s="11"/>
      <c r="C19" s="8">
        <v>1</v>
      </c>
      <c r="D19" s="8">
        <f>D5</f>
        <v>40</v>
      </c>
      <c r="E19" s="8">
        <f>E5</f>
        <v>20</v>
      </c>
      <c r="F19" s="29"/>
      <c r="G19" s="14">
        <f>ROUND(E19*D19*C19,2)</f>
        <v>800</v>
      </c>
      <c r="H19" s="9" t="s">
        <v>38</v>
      </c>
      <c r="I19" s="9"/>
      <c r="J19" s="10"/>
      <c r="K19" s="1"/>
    </row>
    <row r="20" spans="1:11" ht="23.25" customHeight="1">
      <c r="A20" s="4"/>
      <c r="B20" s="11"/>
      <c r="C20" s="4">
        <v>6</v>
      </c>
      <c r="D20" s="4">
        <v>6.25</v>
      </c>
      <c r="E20" s="4">
        <v>4.25</v>
      </c>
      <c r="F20" s="46"/>
      <c r="G20" s="34">
        <f>ROUND(E20*D20*C20,2)</f>
        <v>159.38</v>
      </c>
      <c r="H20" s="5" t="s">
        <v>38</v>
      </c>
      <c r="I20" s="9"/>
      <c r="J20" s="10"/>
      <c r="K20" s="1"/>
    </row>
    <row r="21" spans="1:11" ht="19.5" customHeight="1">
      <c r="A21" s="4"/>
      <c r="B21" s="6"/>
      <c r="C21" s="8"/>
      <c r="D21" s="8"/>
      <c r="E21" s="8"/>
      <c r="F21" s="8" t="s">
        <v>13</v>
      </c>
      <c r="G21" s="14">
        <f>SUM(G19:G19)</f>
        <v>800</v>
      </c>
      <c r="H21" s="9" t="s">
        <v>12</v>
      </c>
      <c r="I21" s="9"/>
      <c r="J21" s="10"/>
      <c r="K21" s="1"/>
    </row>
    <row r="22" spans="1:11" ht="15.75" customHeight="1">
      <c r="A22" s="4"/>
      <c r="B22" s="6"/>
      <c r="C22" s="8"/>
      <c r="D22" s="8"/>
      <c r="E22" s="8"/>
      <c r="F22" s="8" t="s">
        <v>14</v>
      </c>
      <c r="G22" s="13">
        <f>ROUNDUP(G21/10.72,2)</f>
        <v>74.63000000000001</v>
      </c>
      <c r="H22" s="9" t="s">
        <v>43</v>
      </c>
      <c r="I22" s="37">
        <v>798</v>
      </c>
      <c r="J22" s="13">
        <f>ROUND(G22*I22,0)</f>
        <v>59555</v>
      </c>
      <c r="K22" s="1"/>
    </row>
    <row r="23" spans="1:11" ht="118.5">
      <c r="A23" s="4" t="s">
        <v>48</v>
      </c>
      <c r="B23" s="40" t="s">
        <v>47</v>
      </c>
      <c r="C23" s="8"/>
      <c r="D23" s="8"/>
      <c r="E23" s="8"/>
      <c r="F23" s="8"/>
      <c r="G23" s="9"/>
      <c r="H23" s="9"/>
      <c r="I23" s="9"/>
      <c r="J23" s="10"/>
      <c r="K23" s="1"/>
    </row>
    <row r="24" spans="1:11" ht="23.25" customHeight="1">
      <c r="A24" s="4"/>
      <c r="B24" s="11" t="s">
        <v>44</v>
      </c>
      <c r="C24" s="8">
        <v>2</v>
      </c>
      <c r="D24" s="8">
        <f>D19</f>
        <v>40</v>
      </c>
      <c r="E24" s="8">
        <f>4/12</f>
        <v>0.33333333333333331</v>
      </c>
      <c r="F24" s="29">
        <f>3/12</f>
        <v>0.25</v>
      </c>
      <c r="G24" s="14">
        <f t="shared" ref="G24:G28" si="1">PRODUCT(C24:F24)</f>
        <v>6.6666666666666661</v>
      </c>
      <c r="H24" s="9" t="s">
        <v>12</v>
      </c>
      <c r="I24" s="9"/>
      <c r="J24" s="10"/>
      <c r="K24" s="1"/>
    </row>
    <row r="25" spans="1:11" ht="23.25" customHeight="1">
      <c r="A25" s="4"/>
      <c r="B25" s="6" t="s">
        <v>44</v>
      </c>
      <c r="C25" s="4">
        <v>12</v>
      </c>
      <c r="D25" s="4">
        <v>6.25</v>
      </c>
      <c r="E25" s="4">
        <f>3/12</f>
        <v>0.25</v>
      </c>
      <c r="F25" s="4">
        <f>4/12</f>
        <v>0.33333333333333331</v>
      </c>
      <c r="G25" s="34">
        <f t="shared" ref="G25:G26" si="2">PRODUCT(C25:F25)</f>
        <v>6.25</v>
      </c>
      <c r="H25" s="5" t="s">
        <v>12</v>
      </c>
      <c r="I25" s="9"/>
      <c r="J25" s="10"/>
      <c r="K25" s="1"/>
    </row>
    <row r="26" spans="1:11" ht="23.25" customHeight="1">
      <c r="A26" s="4"/>
      <c r="B26" s="6" t="s">
        <v>44</v>
      </c>
      <c r="C26" s="4">
        <v>12</v>
      </c>
      <c r="D26" s="4">
        <v>4.25</v>
      </c>
      <c r="E26" s="4">
        <f>3/12</f>
        <v>0.25</v>
      </c>
      <c r="F26" s="4">
        <f>4/12</f>
        <v>0.33333333333333331</v>
      </c>
      <c r="G26" s="34">
        <f t="shared" si="2"/>
        <v>4.25</v>
      </c>
      <c r="H26" s="5" t="s">
        <v>12</v>
      </c>
      <c r="I26" s="9"/>
      <c r="J26" s="10"/>
      <c r="K26" s="1"/>
    </row>
    <row r="27" spans="1:11" ht="27">
      <c r="A27" s="4"/>
      <c r="B27" s="40" t="s">
        <v>57</v>
      </c>
      <c r="C27" s="4">
        <f>180</f>
        <v>180</v>
      </c>
      <c r="D27" s="4">
        <v>0.44</v>
      </c>
      <c r="E27" s="4"/>
      <c r="F27" s="4"/>
      <c r="G27" s="34">
        <f t="shared" si="1"/>
        <v>79.2</v>
      </c>
      <c r="H27" s="5" t="s">
        <v>12</v>
      </c>
      <c r="I27" s="9"/>
      <c r="J27" s="10"/>
      <c r="K27" s="1"/>
    </row>
    <row r="28" spans="1:11" ht="40.5">
      <c r="A28" s="4"/>
      <c r="B28" s="40" t="s">
        <v>58</v>
      </c>
      <c r="C28" s="4">
        <f>-180</f>
        <v>-180</v>
      </c>
      <c r="D28" s="4">
        <v>0.04</v>
      </c>
      <c r="E28" s="4"/>
      <c r="F28" s="4"/>
      <c r="G28" s="34">
        <f t="shared" si="1"/>
        <v>-7.2</v>
      </c>
      <c r="H28" s="5" t="s">
        <v>12</v>
      </c>
      <c r="I28" s="9"/>
      <c r="J28" s="10"/>
      <c r="K28" s="1"/>
    </row>
    <row r="29" spans="1:11" ht="23.25" customHeight="1">
      <c r="A29" s="4"/>
      <c r="B29" s="11"/>
      <c r="C29" s="8"/>
      <c r="D29" s="8"/>
      <c r="E29" s="8"/>
      <c r="F29" s="29" t="s">
        <v>13</v>
      </c>
      <c r="G29" s="14">
        <f>SUM(G24:G28)</f>
        <v>89.166666666666671</v>
      </c>
      <c r="H29" s="9" t="s">
        <v>12</v>
      </c>
      <c r="I29" s="9"/>
      <c r="J29" s="10"/>
      <c r="K29" s="1"/>
    </row>
    <row r="30" spans="1:11" ht="21" customHeight="1">
      <c r="A30" s="4"/>
      <c r="B30" s="6"/>
      <c r="C30" s="8"/>
      <c r="D30" s="8"/>
      <c r="E30" s="8"/>
      <c r="F30" s="8" t="s">
        <v>14</v>
      </c>
      <c r="G30" s="13">
        <f>ROUNDUP(G29/35.31,2)</f>
        <v>2.5299999999999998</v>
      </c>
      <c r="H30" s="9" t="s">
        <v>15</v>
      </c>
      <c r="I30" s="34">
        <v>4598.2299999999996</v>
      </c>
      <c r="J30" s="13">
        <f>ROUND(G30*I30,0)</f>
        <v>11634</v>
      </c>
      <c r="K30" s="1"/>
    </row>
    <row r="31" spans="1:11" ht="165.75">
      <c r="A31" s="4" t="s">
        <v>61</v>
      </c>
      <c r="B31" s="45" t="s">
        <v>56</v>
      </c>
      <c r="C31" s="8"/>
      <c r="D31" s="8"/>
      <c r="E31" s="8"/>
      <c r="F31" s="8"/>
      <c r="G31" s="13"/>
      <c r="H31" s="9"/>
      <c r="I31" s="34"/>
      <c r="J31" s="13"/>
      <c r="K31" s="1"/>
    </row>
    <row r="32" spans="1:11" ht="23.25" customHeight="1">
      <c r="A32" s="4"/>
      <c r="B32" s="11"/>
      <c r="C32" s="8">
        <v>180</v>
      </c>
      <c r="D32" s="8"/>
      <c r="E32" s="8"/>
      <c r="F32" s="29"/>
      <c r="G32" s="14">
        <f>C32</f>
        <v>180</v>
      </c>
      <c r="H32" s="9" t="s">
        <v>3</v>
      </c>
      <c r="I32" s="9">
        <v>900</v>
      </c>
      <c r="J32" s="10">
        <f>ROUND(G32*I32,0)</f>
        <v>162000</v>
      </c>
      <c r="K32" s="1"/>
    </row>
    <row r="33" spans="1:11" ht="186">
      <c r="A33" s="4" t="s">
        <v>52</v>
      </c>
      <c r="B33" s="40" t="s">
        <v>50</v>
      </c>
      <c r="C33" s="8"/>
      <c r="D33" s="8"/>
      <c r="E33" s="8"/>
      <c r="F33" s="8"/>
      <c r="G33" s="13"/>
      <c r="H33" s="9"/>
      <c r="I33" s="34"/>
      <c r="J33" s="13"/>
      <c r="K33" s="1"/>
    </row>
    <row r="34" spans="1:11" ht="12.75">
      <c r="A34" s="41"/>
      <c r="B34" s="41"/>
      <c r="C34" s="8">
        <v>180</v>
      </c>
      <c r="D34" s="6">
        <f>ROUND(2*22/7*0.25,2)</f>
        <v>1.57</v>
      </c>
      <c r="E34" s="6"/>
      <c r="F34" s="6">
        <v>3</v>
      </c>
      <c r="G34" s="6">
        <f>C34*D34*F34</f>
        <v>847.80000000000007</v>
      </c>
      <c r="H34" s="9" t="s">
        <v>51</v>
      </c>
      <c r="I34" s="34"/>
      <c r="J34" s="13"/>
      <c r="K34" s="1"/>
    </row>
    <row r="35" spans="1:11" ht="12.75">
      <c r="A35" s="41"/>
      <c r="B35" s="41"/>
      <c r="C35" s="8"/>
      <c r="D35" s="8"/>
      <c r="E35" s="8"/>
      <c r="F35" s="8"/>
      <c r="G35" s="13">
        <f>ROUNDUP(G34/10.72,2)</f>
        <v>79.09</v>
      </c>
      <c r="H35" s="9" t="s">
        <v>43</v>
      </c>
      <c r="I35" s="34">
        <f>162.35*0.868</f>
        <v>140.91979999999998</v>
      </c>
      <c r="J35" s="13">
        <f>ROUND(G35*I35,0)</f>
        <v>11145</v>
      </c>
      <c r="K35" s="1"/>
    </row>
    <row r="36" spans="1:11" ht="51">
      <c r="A36" s="4" t="s">
        <v>66</v>
      </c>
      <c r="B36" s="48" t="s">
        <v>64</v>
      </c>
      <c r="C36" s="4">
        <v>6</v>
      </c>
      <c r="D36" s="4"/>
      <c r="E36" s="4"/>
      <c r="F36" s="4"/>
      <c r="G36" s="10">
        <f>C36</f>
        <v>6</v>
      </c>
      <c r="H36" s="5" t="s">
        <v>65</v>
      </c>
      <c r="I36" s="38">
        <v>9500</v>
      </c>
      <c r="J36" s="7">
        <f>ROUND(G36*I36,0)</f>
        <v>57000</v>
      </c>
      <c r="K36" s="1"/>
    </row>
    <row r="37" spans="1:11" ht="15.75">
      <c r="A37" s="4">
        <v>8</v>
      </c>
      <c r="B37" s="16" t="s">
        <v>16</v>
      </c>
      <c r="C37" s="17"/>
      <c r="D37" s="17"/>
      <c r="E37" s="17"/>
      <c r="F37" s="17"/>
      <c r="G37" s="17"/>
      <c r="H37" s="17"/>
      <c r="I37" s="17"/>
      <c r="J37" s="12"/>
      <c r="K37" s="1"/>
    </row>
    <row r="38" spans="1:11" ht="16.5">
      <c r="A38" s="31" t="s">
        <v>17</v>
      </c>
      <c r="B38" s="15" t="s">
        <v>67</v>
      </c>
      <c r="C38" s="17"/>
      <c r="D38" s="17"/>
      <c r="E38" s="17"/>
      <c r="F38" s="17"/>
      <c r="G38" s="17">
        <f>Sheet2!F6</f>
        <v>0.25</v>
      </c>
      <c r="H38" s="30" t="s">
        <v>36</v>
      </c>
      <c r="I38" s="32">
        <v>848.82</v>
      </c>
      <c r="J38" s="13">
        <f>ROUND(G38*I38,0)</f>
        <v>212</v>
      </c>
      <c r="K38" s="1"/>
    </row>
    <row r="39" spans="1:11" ht="16.5">
      <c r="A39" s="8" t="s">
        <v>18</v>
      </c>
      <c r="B39" s="15" t="s">
        <v>68</v>
      </c>
      <c r="C39" s="17"/>
      <c r="D39" s="17"/>
      <c r="E39" s="17"/>
      <c r="F39" s="17"/>
      <c r="G39" s="17">
        <f>Sheet2!E6</f>
        <v>11.89</v>
      </c>
      <c r="H39" s="30" t="s">
        <v>36</v>
      </c>
      <c r="I39" s="32">
        <v>447.06</v>
      </c>
      <c r="J39" s="13">
        <f>I39*G39</f>
        <v>5315.5434000000005</v>
      </c>
      <c r="K39" s="1"/>
    </row>
    <row r="40" spans="1:11" ht="16.5">
      <c r="A40" s="8" t="s">
        <v>19</v>
      </c>
      <c r="B40" s="15" t="s">
        <v>69</v>
      </c>
      <c r="C40" s="17"/>
      <c r="D40" s="17"/>
      <c r="E40" s="17"/>
      <c r="F40" s="17"/>
      <c r="G40" s="17">
        <f>Sheet2!G6</f>
        <v>0.5</v>
      </c>
      <c r="H40" s="30" t="s">
        <v>36</v>
      </c>
      <c r="I40" s="32">
        <v>447.06</v>
      </c>
      <c r="J40" s="13">
        <f>ROUNDUP(G40*I40,0)</f>
        <v>224</v>
      </c>
      <c r="K40" s="1"/>
    </row>
    <row r="41" spans="1:11" ht="21" customHeight="1">
      <c r="A41" s="8" t="s">
        <v>20</v>
      </c>
      <c r="B41" s="15" t="s">
        <v>21</v>
      </c>
      <c r="C41" s="17"/>
      <c r="D41" s="17"/>
      <c r="E41" s="17"/>
      <c r="F41" s="17"/>
      <c r="G41" s="17">
        <f>Sheet2!H6</f>
        <v>245.7</v>
      </c>
      <c r="H41" s="30" t="s">
        <v>36</v>
      </c>
      <c r="I41" s="32">
        <v>117.54</v>
      </c>
      <c r="J41" s="13">
        <f>ROUNDUP(G41*I41,0)</f>
        <v>28880</v>
      </c>
    </row>
    <row r="42" spans="1:11" ht="17.25" customHeight="1">
      <c r="A42" s="18"/>
      <c r="B42" s="61" t="s">
        <v>13</v>
      </c>
      <c r="C42" s="62"/>
      <c r="D42" s="62"/>
      <c r="E42" s="62"/>
      <c r="F42" s="62"/>
      <c r="G42" s="62"/>
      <c r="H42" s="62"/>
      <c r="I42" s="63"/>
      <c r="J42" s="13">
        <f>SUM(J4:J41)</f>
        <v>377403.54340000002</v>
      </c>
    </row>
    <row r="43" spans="1:11" ht="18" customHeight="1">
      <c r="A43" s="18"/>
      <c r="B43" s="64" t="s">
        <v>41</v>
      </c>
      <c r="C43" s="65"/>
      <c r="D43" s="65"/>
      <c r="E43" s="65"/>
      <c r="F43" s="65"/>
      <c r="G43" s="65"/>
      <c r="H43" s="65"/>
      <c r="I43" s="66"/>
      <c r="J43" s="13">
        <f>J42*18%</f>
        <v>67932.637812000001</v>
      </c>
    </row>
    <row r="44" spans="1:11" ht="22.5" customHeight="1">
      <c r="A44" s="18"/>
      <c r="B44" s="61" t="s">
        <v>23</v>
      </c>
      <c r="C44" s="62"/>
      <c r="D44" s="62"/>
      <c r="E44" s="62"/>
      <c r="F44" s="62"/>
      <c r="G44" s="62"/>
      <c r="H44" s="62"/>
      <c r="I44" s="63"/>
      <c r="J44" s="13">
        <f>SUM(J42:J43)</f>
        <v>445336.18121200002</v>
      </c>
    </row>
    <row r="45" spans="1:11" ht="23.25" customHeight="1">
      <c r="A45" s="18"/>
      <c r="B45" s="64" t="s">
        <v>22</v>
      </c>
      <c r="C45" s="65"/>
      <c r="D45" s="65"/>
      <c r="E45" s="65"/>
      <c r="F45" s="65"/>
      <c r="G45" s="65"/>
      <c r="H45" s="65"/>
      <c r="I45" s="66"/>
      <c r="J45" s="13">
        <f>ROUND(J44*1/100,0)</f>
        <v>4453</v>
      </c>
    </row>
    <row r="46" spans="1:11" ht="28.5" customHeight="1">
      <c r="A46" s="18"/>
      <c r="B46" s="61" t="s">
        <v>23</v>
      </c>
      <c r="C46" s="62"/>
      <c r="D46" s="62"/>
      <c r="E46" s="62"/>
      <c r="F46" s="62"/>
      <c r="G46" s="62"/>
      <c r="H46" s="62"/>
      <c r="I46" s="63"/>
      <c r="J46" s="13">
        <f>SUM(J44:J45)</f>
        <v>449789.18121200002</v>
      </c>
    </row>
    <row r="47" spans="1:11" ht="28.5" customHeight="1">
      <c r="A47" s="42"/>
      <c r="B47" s="43"/>
      <c r="C47" s="43"/>
      <c r="D47" s="43"/>
      <c r="E47" s="43"/>
      <c r="F47" s="43"/>
      <c r="G47" s="43"/>
      <c r="H47" s="43"/>
      <c r="I47" s="43"/>
      <c r="J47" s="44"/>
    </row>
    <row r="48" spans="1:11" ht="26.25" customHeight="1">
      <c r="G48" s="19"/>
      <c r="J48" s="35"/>
    </row>
    <row r="49" spans="1:10" ht="12.75"/>
    <row r="50" spans="1:10" ht="12.75"/>
    <row r="51" spans="1:10" ht="26.25">
      <c r="A51" s="60" t="s">
        <v>24</v>
      </c>
      <c r="B51" s="60"/>
      <c r="C51" s="60"/>
      <c r="D51" s="60"/>
      <c r="E51" s="60"/>
      <c r="F51" s="60"/>
      <c r="G51" s="60"/>
      <c r="H51" s="60"/>
      <c r="I51" s="60"/>
      <c r="J51" s="60"/>
    </row>
    <row r="52" spans="1:10" ht="12.75"/>
    <row r="53" spans="1:10" ht="26.25">
      <c r="A53" s="60"/>
      <c r="B53" s="60"/>
      <c r="C53" s="60"/>
      <c r="D53" s="60"/>
      <c r="E53" s="60"/>
      <c r="F53" s="60"/>
      <c r="G53" s="60"/>
      <c r="H53" s="60"/>
      <c r="I53" s="60"/>
      <c r="J53" s="60"/>
    </row>
    <row r="54" spans="1:10" ht="12.75"/>
    <row r="55" spans="1:10" ht="12.75"/>
    <row r="56" spans="1:10" ht="12.75"/>
    <row r="57" spans="1:10" ht="12.75"/>
    <row r="58" spans="1:10" ht="12.75"/>
  </sheetData>
  <mergeCells count="9">
    <mergeCell ref="B1:J1"/>
    <mergeCell ref="B2:J2"/>
    <mergeCell ref="A51:J51"/>
    <mergeCell ref="A53:J53"/>
    <mergeCell ref="B42:I42"/>
    <mergeCell ref="B45:I45"/>
    <mergeCell ref="B46:I46"/>
    <mergeCell ref="B43:I43"/>
    <mergeCell ref="B44:I44"/>
  </mergeCells>
  <pageMargins left="0.7" right="0.19" top="0.39" bottom="0.54" header="0.12" footer="0.54"/>
  <pageSetup paperSize="9" scale="82" orientation="portrait"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dimension ref="A1:H10"/>
  <sheetViews>
    <sheetView workbookViewId="0">
      <selection activeCell="F6" sqref="F6"/>
    </sheetView>
  </sheetViews>
  <sheetFormatPr defaultRowHeight="15"/>
  <cols>
    <col min="2" max="2" width="15.140625" customWidth="1"/>
    <col min="4" max="5" width="9.85546875" customWidth="1"/>
    <col min="6" max="6" width="12" customWidth="1"/>
    <col min="7" max="7" width="9.85546875" customWidth="1"/>
    <col min="8" max="8" width="10.140625" customWidth="1"/>
  </cols>
  <sheetData>
    <row r="1" spans="1:8" ht="28.5">
      <c r="A1" s="67" t="s">
        <v>25</v>
      </c>
      <c r="B1" s="67"/>
      <c r="C1" s="67"/>
      <c r="D1" s="67"/>
      <c r="E1" s="67"/>
      <c r="F1" s="67"/>
      <c r="G1" s="67"/>
      <c r="H1" s="67"/>
    </row>
    <row r="2" spans="1:8" ht="51" customHeight="1">
      <c r="A2" s="20" t="s">
        <v>26</v>
      </c>
      <c r="B2" s="20" t="s">
        <v>27</v>
      </c>
      <c r="C2" s="21" t="s">
        <v>28</v>
      </c>
      <c r="D2" s="22" t="s">
        <v>29</v>
      </c>
      <c r="E2" s="22" t="s">
        <v>37</v>
      </c>
      <c r="F2" s="20" t="s">
        <v>30</v>
      </c>
      <c r="G2" s="20" t="s">
        <v>31</v>
      </c>
      <c r="H2" s="20" t="s">
        <v>32</v>
      </c>
    </row>
    <row r="3" spans="1:8" ht="39" customHeight="1">
      <c r="A3" s="23">
        <v>1</v>
      </c>
      <c r="B3" s="24" t="s">
        <v>33</v>
      </c>
      <c r="C3" s="25">
        <f>Sheet1!G11</f>
        <v>245.7</v>
      </c>
      <c r="D3" s="23"/>
      <c r="E3" s="23"/>
      <c r="F3" s="23"/>
      <c r="G3" s="23"/>
      <c r="H3" s="23">
        <f>C3*1</f>
        <v>245.7</v>
      </c>
    </row>
    <row r="4" spans="1:8" ht="35.25" customHeight="1">
      <c r="A4" s="23">
        <v>2</v>
      </c>
      <c r="B4" s="24" t="s">
        <v>34</v>
      </c>
      <c r="C4" s="23">
        <f>Sheet1!G17</f>
        <v>11.89</v>
      </c>
      <c r="D4" s="23"/>
      <c r="E4" s="23">
        <f>C4</f>
        <v>11.89</v>
      </c>
      <c r="F4" s="23"/>
      <c r="G4" s="23"/>
      <c r="H4" s="23"/>
    </row>
    <row r="5" spans="1:8" ht="21" customHeight="1">
      <c r="A5" s="23">
        <v>3</v>
      </c>
      <c r="B5" s="26" t="s">
        <v>49</v>
      </c>
      <c r="C5" s="27">
        <f>Sheet1!G30</f>
        <v>2.5299999999999998</v>
      </c>
      <c r="D5" s="23">
        <f>ROUNDUP(C5*0.225,2)</f>
        <v>0.57000000000000006</v>
      </c>
      <c r="E5" s="23"/>
      <c r="F5" s="23">
        <f>ROUNDUP(D5*0.43,2)</f>
        <v>0.25</v>
      </c>
      <c r="G5" s="23">
        <f>F5*2</f>
        <v>0.5</v>
      </c>
      <c r="H5" s="23"/>
    </row>
    <row r="6" spans="1:8" ht="15.75">
      <c r="A6" s="68" t="s">
        <v>13</v>
      </c>
      <c r="B6" s="69"/>
      <c r="C6" s="70"/>
      <c r="D6" s="28">
        <f>SUM(D5)</f>
        <v>0.57000000000000006</v>
      </c>
      <c r="E6" s="28">
        <f>E4</f>
        <v>11.89</v>
      </c>
      <c r="F6" s="28">
        <f>SUM(F4:F5)</f>
        <v>0.25</v>
      </c>
      <c r="G6" s="28">
        <f>SUM(G5)</f>
        <v>0.5</v>
      </c>
      <c r="H6" s="28">
        <f>SUM(H3:H5)</f>
        <v>245.7</v>
      </c>
    </row>
    <row r="7" spans="1:8" ht="15.75">
      <c r="A7" s="71"/>
      <c r="B7" s="72"/>
      <c r="C7" s="73"/>
      <c r="D7" s="28" t="s">
        <v>15</v>
      </c>
      <c r="E7" s="28" t="s">
        <v>15</v>
      </c>
      <c r="F7" s="28" t="s">
        <v>15</v>
      </c>
      <c r="G7" s="28" t="s">
        <v>15</v>
      </c>
      <c r="H7" s="28" t="s">
        <v>15</v>
      </c>
    </row>
    <row r="8" spans="1:8" ht="54" customHeight="1"/>
    <row r="9" spans="1:8" ht="18.75">
      <c r="A9" s="74" t="s">
        <v>35</v>
      </c>
      <c r="B9" s="74"/>
      <c r="C9" s="74"/>
      <c r="D9" s="74"/>
      <c r="E9" s="74"/>
      <c r="F9" s="74"/>
      <c r="G9" s="74"/>
      <c r="H9" s="74"/>
    </row>
    <row r="10" spans="1:8" ht="18.75">
      <c r="A10" s="74"/>
      <c r="B10" s="74"/>
      <c r="C10" s="74"/>
      <c r="D10" s="74"/>
      <c r="E10" s="74"/>
      <c r="F10" s="74"/>
      <c r="G10" s="74"/>
      <c r="H10" s="74"/>
    </row>
  </sheetData>
  <mergeCells count="4">
    <mergeCell ref="A1:H1"/>
    <mergeCell ref="A6:C7"/>
    <mergeCell ref="A9:H9"/>
    <mergeCell ref="A10:H10"/>
  </mergeCells>
  <pageMargins left="0.12" right="0.16" top="0.75" bottom="0.75" header="0.3" footer="0.3"/>
  <pageSetup paperSize="9" scale="105" orientation="portrait" verticalDpi="360" r:id="rId1"/>
</worksheet>
</file>

<file path=xl/worksheets/sheet3.xml><?xml version="1.0" encoding="utf-8"?>
<worksheet xmlns="http://schemas.openxmlformats.org/spreadsheetml/2006/main" xmlns:r="http://schemas.openxmlformats.org/officeDocument/2006/relationships">
  <dimension ref="A1:C7"/>
  <sheetViews>
    <sheetView workbookViewId="0">
      <selection activeCell="B9" sqref="B9"/>
    </sheetView>
  </sheetViews>
  <sheetFormatPr defaultRowHeight="12.75"/>
  <cols>
    <col min="1" max="1" width="6.140625" style="2" customWidth="1"/>
    <col min="2" max="2" width="57.7109375" style="2" customWidth="1"/>
    <col min="3" max="4" width="20.140625" style="2" customWidth="1"/>
    <col min="5" max="16384" width="9.140625" style="2"/>
  </cols>
  <sheetData>
    <row r="1" spans="1:3" ht="29.25" customHeight="1">
      <c r="B1" s="76" t="s">
        <v>0</v>
      </c>
      <c r="C1" s="76"/>
    </row>
    <row r="2" spans="1:3" ht="28.5" customHeight="1">
      <c r="B2" s="75" t="s">
        <v>70</v>
      </c>
      <c r="C2" s="75"/>
    </row>
    <row r="3" spans="1:3" s="49" customFormat="1" ht="28.5">
      <c r="A3" s="54" t="s">
        <v>1</v>
      </c>
      <c r="B3" s="54" t="s">
        <v>73</v>
      </c>
      <c r="C3" s="55" t="s">
        <v>10</v>
      </c>
    </row>
    <row r="4" spans="1:3" s="49" customFormat="1" ht="52.5" customHeight="1">
      <c r="A4" s="54">
        <v>1</v>
      </c>
      <c r="B4" s="56" t="s">
        <v>72</v>
      </c>
      <c r="C4" s="55">
        <v>449789.18</v>
      </c>
    </row>
    <row r="5" spans="1:3" s="49" customFormat="1" ht="48" customHeight="1">
      <c r="A5" s="54">
        <v>2</v>
      </c>
      <c r="B5" s="56" t="s">
        <v>75</v>
      </c>
      <c r="C5" s="55">
        <v>232673.77</v>
      </c>
    </row>
    <row r="6" spans="1:3" ht="24.75" customHeight="1">
      <c r="A6" s="18"/>
      <c r="B6" s="52" t="s">
        <v>13</v>
      </c>
      <c r="C6" s="50">
        <f>SUM(C4:C5)</f>
        <v>682462.95</v>
      </c>
    </row>
    <row r="7" spans="1:3" ht="29.25" customHeight="1">
      <c r="A7" s="51"/>
      <c r="B7" s="57" t="s">
        <v>74</v>
      </c>
      <c r="C7" s="53">
        <v>682500</v>
      </c>
    </row>
  </sheetData>
  <mergeCells count="2">
    <mergeCell ref="B2:C2"/>
    <mergeCell ref="B1:C1"/>
  </mergeCells>
  <pageMargins left="0.7" right="0.3" top="0.16" bottom="0.24" header="0.27" footer="0.3"/>
  <pageSetup paperSize="9" scale="90" orientation="portrait" verticalDpi="360" r:id="rId1"/>
</worksheet>
</file>

<file path=xl/worksheets/sheet4.xml><?xml version="1.0" encoding="utf-8"?>
<worksheet xmlns="http://schemas.openxmlformats.org/spreadsheetml/2006/main" xmlns:r="http://schemas.openxmlformats.org/officeDocument/2006/relationships">
  <dimension ref="A1:G32"/>
  <sheetViews>
    <sheetView tabSelected="1" view="pageBreakPreview" zoomScale="60" workbookViewId="0">
      <selection activeCell="B21" sqref="B21:E22"/>
    </sheetView>
  </sheetViews>
  <sheetFormatPr defaultRowHeight="63.75" customHeight="1"/>
  <cols>
    <col min="1" max="1" width="6.140625" style="2" customWidth="1"/>
    <col min="2" max="2" width="61" style="2" customWidth="1"/>
    <col min="3" max="3" width="9.5703125" style="2" bestFit="1" customWidth="1"/>
    <col min="4" max="4" width="5.28515625" style="2" customWidth="1"/>
    <col min="5" max="5" width="15.5703125" style="2" customWidth="1"/>
    <col min="6" max="6" width="16" style="2" customWidth="1"/>
    <col min="7" max="16384" width="9.140625" style="2"/>
  </cols>
  <sheetData>
    <row r="1" spans="1:7" ht="22.5">
      <c r="B1" s="58" t="s">
        <v>0</v>
      </c>
      <c r="C1" s="58"/>
      <c r="D1" s="58"/>
      <c r="E1" s="58"/>
      <c r="F1" s="58"/>
    </row>
    <row r="2" spans="1:7" ht="22.5">
      <c r="B2" s="77" t="s">
        <v>76</v>
      </c>
      <c r="C2" s="77"/>
      <c r="D2" s="77"/>
      <c r="E2" s="77"/>
      <c r="F2" s="77"/>
    </row>
    <row r="3" spans="1:7" ht="36" customHeight="1">
      <c r="A3" s="18"/>
      <c r="B3" s="59" t="s">
        <v>71</v>
      </c>
      <c r="C3" s="59"/>
      <c r="D3" s="59"/>
      <c r="E3" s="59"/>
      <c r="F3" s="59"/>
      <c r="G3" s="3"/>
    </row>
    <row r="4" spans="1:7" ht="30" customHeight="1">
      <c r="A4" s="4" t="s">
        <v>1</v>
      </c>
      <c r="B4" s="4" t="s">
        <v>2</v>
      </c>
      <c r="C4" s="4" t="s">
        <v>7</v>
      </c>
      <c r="D4" s="4" t="s">
        <v>8</v>
      </c>
      <c r="E4" s="4" t="s">
        <v>9</v>
      </c>
      <c r="F4" s="5" t="s">
        <v>10</v>
      </c>
      <c r="G4" s="1"/>
    </row>
    <row r="5" spans="1:7" ht="102">
      <c r="A5" s="4" t="s">
        <v>39</v>
      </c>
      <c r="B5" s="6" t="s">
        <v>11</v>
      </c>
      <c r="C5" s="10">
        <f>Sheet1!G11</f>
        <v>245.7</v>
      </c>
      <c r="D5" s="5" t="s">
        <v>15</v>
      </c>
      <c r="E5" s="5">
        <v>151.82</v>
      </c>
      <c r="F5" s="7">
        <f>ROUND(C5*E5,2)</f>
        <v>37302.17</v>
      </c>
      <c r="G5" s="1"/>
    </row>
    <row r="6" spans="1:7" ht="89.25">
      <c r="A6" s="4" t="s">
        <v>40</v>
      </c>
      <c r="B6" s="36" t="s">
        <v>42</v>
      </c>
      <c r="C6" s="10">
        <f>Sheet1!G17</f>
        <v>11.89</v>
      </c>
      <c r="D6" s="5" t="s">
        <v>15</v>
      </c>
      <c r="E6" s="38">
        <v>347.85</v>
      </c>
      <c r="F6" s="7">
        <f t="shared" ref="F6:F16" si="0">ROUND(C6*E6,2)</f>
        <v>4135.9399999999996</v>
      </c>
      <c r="G6" s="1"/>
    </row>
    <row r="7" spans="1:7" ht="81">
      <c r="A7" s="39" t="s">
        <v>46</v>
      </c>
      <c r="B7" s="40" t="s">
        <v>45</v>
      </c>
      <c r="C7" s="7">
        <f>Sheet1!G22</f>
        <v>74.63000000000001</v>
      </c>
      <c r="D7" s="5" t="s">
        <v>43</v>
      </c>
      <c r="E7" s="78">
        <v>798</v>
      </c>
      <c r="F7" s="7">
        <f t="shared" si="0"/>
        <v>59554.74</v>
      </c>
      <c r="G7" s="1"/>
    </row>
    <row r="8" spans="1:7" ht="66">
      <c r="A8" s="4" t="s">
        <v>48</v>
      </c>
      <c r="B8" s="40" t="s">
        <v>47</v>
      </c>
      <c r="C8" s="7">
        <f>Sheet1!G30</f>
        <v>2.5299999999999998</v>
      </c>
      <c r="D8" s="5" t="s">
        <v>15</v>
      </c>
      <c r="E8" s="34">
        <v>4598.2299999999996</v>
      </c>
      <c r="F8" s="7">
        <f t="shared" si="0"/>
        <v>11633.52</v>
      </c>
      <c r="G8" s="1"/>
    </row>
    <row r="9" spans="1:7" ht="89.25">
      <c r="A9" s="4" t="s">
        <v>61</v>
      </c>
      <c r="B9" s="45" t="s">
        <v>56</v>
      </c>
      <c r="C9" s="34">
        <f>Sheet1!G32</f>
        <v>180</v>
      </c>
      <c r="D9" s="5" t="s">
        <v>3</v>
      </c>
      <c r="E9" s="5">
        <v>900</v>
      </c>
      <c r="F9" s="7">
        <f t="shared" si="0"/>
        <v>162000</v>
      </c>
      <c r="G9" s="1"/>
    </row>
    <row r="10" spans="1:7" ht="86.25">
      <c r="A10" s="4" t="s">
        <v>52</v>
      </c>
      <c r="B10" s="40" t="s">
        <v>50</v>
      </c>
      <c r="C10" s="7">
        <f>Sheet1!G32</f>
        <v>180</v>
      </c>
      <c r="D10" s="5" t="s">
        <v>43</v>
      </c>
      <c r="E10" s="34">
        <f>162.35*0.868</f>
        <v>140.91979999999998</v>
      </c>
      <c r="F10" s="7">
        <f t="shared" si="0"/>
        <v>25365.56</v>
      </c>
      <c r="G10" s="1"/>
    </row>
    <row r="11" spans="1:7" ht="51">
      <c r="A11" s="4" t="s">
        <v>66</v>
      </c>
      <c r="B11" s="48" t="s">
        <v>64</v>
      </c>
      <c r="C11" s="10">
        <f>Sheet1!G36</f>
        <v>6</v>
      </c>
      <c r="D11" s="5" t="s">
        <v>65</v>
      </c>
      <c r="E11" s="38">
        <v>9500</v>
      </c>
      <c r="F11" s="7">
        <f t="shared" si="0"/>
        <v>57000</v>
      </c>
      <c r="G11" s="1"/>
    </row>
    <row r="12" spans="1:7" ht="15.75">
      <c r="A12" s="4">
        <v>8</v>
      </c>
      <c r="B12" s="16" t="s">
        <v>16</v>
      </c>
      <c r="C12" s="17"/>
      <c r="D12" s="17"/>
      <c r="E12" s="17"/>
      <c r="F12" s="7"/>
      <c r="G12" s="1"/>
    </row>
    <row r="13" spans="1:7" ht="16.5">
      <c r="A13" s="31" t="s">
        <v>17</v>
      </c>
      <c r="B13" s="15" t="s">
        <v>67</v>
      </c>
      <c r="C13" s="34">
        <f>Sheet2!F6</f>
        <v>0.25</v>
      </c>
      <c r="D13" s="30" t="s">
        <v>36</v>
      </c>
      <c r="E13" s="32">
        <v>848.82</v>
      </c>
      <c r="F13" s="7">
        <f t="shared" si="0"/>
        <v>212.21</v>
      </c>
      <c r="G13" s="1"/>
    </row>
    <row r="14" spans="1:7" ht="16.5">
      <c r="A14" s="8" t="s">
        <v>18</v>
      </c>
      <c r="B14" s="15" t="s">
        <v>68</v>
      </c>
      <c r="C14" s="34">
        <f>Sheet2!E6</f>
        <v>11.89</v>
      </c>
      <c r="D14" s="30" t="s">
        <v>36</v>
      </c>
      <c r="E14" s="32">
        <v>447.06</v>
      </c>
      <c r="F14" s="7">
        <f t="shared" si="0"/>
        <v>5315.54</v>
      </c>
      <c r="G14" s="1"/>
    </row>
    <row r="15" spans="1:7" ht="16.5">
      <c r="A15" s="8" t="s">
        <v>19</v>
      </c>
      <c r="B15" s="15" t="s">
        <v>69</v>
      </c>
      <c r="C15" s="34">
        <f>Sheet2!G6</f>
        <v>0.5</v>
      </c>
      <c r="D15" s="30" t="s">
        <v>36</v>
      </c>
      <c r="E15" s="32">
        <v>447.06</v>
      </c>
      <c r="F15" s="7">
        <f t="shared" si="0"/>
        <v>223.53</v>
      </c>
      <c r="G15" s="1"/>
    </row>
    <row r="16" spans="1:7" ht="21" customHeight="1">
      <c r="A16" s="8" t="s">
        <v>20</v>
      </c>
      <c r="B16" s="15" t="s">
        <v>21</v>
      </c>
      <c r="C16" s="34">
        <f>Sheet2!H6</f>
        <v>245.7</v>
      </c>
      <c r="D16" s="30" t="s">
        <v>36</v>
      </c>
      <c r="E16" s="32">
        <v>117.54</v>
      </c>
      <c r="F16" s="7">
        <f t="shared" si="0"/>
        <v>28879.58</v>
      </c>
    </row>
    <row r="17" spans="1:6" ht="17.25" customHeight="1">
      <c r="A17" s="18"/>
      <c r="B17" s="61" t="s">
        <v>13</v>
      </c>
      <c r="C17" s="62"/>
      <c r="D17" s="62"/>
      <c r="E17" s="63"/>
      <c r="F17" s="13">
        <f>SUM(F5:F16)</f>
        <v>391622.79000000004</v>
      </c>
    </row>
    <row r="18" spans="1:6" ht="18" customHeight="1">
      <c r="A18" s="18"/>
      <c r="B18" s="64" t="s">
        <v>41</v>
      </c>
      <c r="C18" s="65"/>
      <c r="D18" s="65"/>
      <c r="E18" s="66"/>
      <c r="F18" s="13">
        <f>F17*18%</f>
        <v>70492.102200000008</v>
      </c>
    </row>
    <row r="19" spans="1:6" ht="22.5" customHeight="1">
      <c r="A19" s="18"/>
      <c r="B19" s="61" t="s">
        <v>23</v>
      </c>
      <c r="C19" s="62"/>
      <c r="D19" s="62"/>
      <c r="E19" s="63"/>
      <c r="F19" s="13">
        <f>SUM(F17:F18)</f>
        <v>462114.89220000006</v>
      </c>
    </row>
    <row r="20" spans="1:6" ht="23.25" customHeight="1">
      <c r="A20" s="18"/>
      <c r="B20" s="64" t="s">
        <v>22</v>
      </c>
      <c r="C20" s="65"/>
      <c r="D20" s="65"/>
      <c r="E20" s="66"/>
      <c r="F20" s="13">
        <f>ROUND(F19*1/100,0)</f>
        <v>4621</v>
      </c>
    </row>
    <row r="21" spans="1:6" ht="28.5" customHeight="1">
      <c r="A21" s="18"/>
      <c r="B21" s="61" t="s">
        <v>23</v>
      </c>
      <c r="C21" s="62"/>
      <c r="D21" s="62"/>
      <c r="E21" s="63"/>
      <c r="F21" s="13">
        <f>SUM(F19:F20)</f>
        <v>466735.89220000006</v>
      </c>
    </row>
    <row r="22" spans="1:6" ht="28.5" customHeight="1">
      <c r="A22" s="42"/>
      <c r="B22" s="43"/>
      <c r="C22" s="43"/>
      <c r="D22" s="43"/>
      <c r="E22" s="43"/>
      <c r="F22" s="44"/>
    </row>
    <row r="23" spans="1:6" ht="26.25" customHeight="1">
      <c r="C23" s="19"/>
      <c r="F23" s="35"/>
    </row>
    <row r="24" spans="1:6" ht="12.75"/>
    <row r="25" spans="1:6" ht="12.75"/>
    <row r="26" spans="1:6" ht="12.75"/>
    <row r="27" spans="1:6" ht="26.25">
      <c r="A27" s="60"/>
      <c r="B27" s="60"/>
      <c r="C27" s="60"/>
      <c r="D27" s="60"/>
      <c r="E27" s="60"/>
      <c r="F27" s="60"/>
    </row>
    <row r="28" spans="1:6" ht="12.75"/>
    <row r="29" spans="1:6" ht="12.75"/>
    <row r="30" spans="1:6" ht="12.75"/>
    <row r="31" spans="1:6" ht="12.75"/>
    <row r="32" spans="1:6" ht="12.75"/>
  </sheetData>
  <mergeCells count="9">
    <mergeCell ref="B21:E21"/>
    <mergeCell ref="A27:F27"/>
    <mergeCell ref="B2:F2"/>
    <mergeCell ref="B1:F1"/>
    <mergeCell ref="B3:F3"/>
    <mergeCell ref="B17:E17"/>
    <mergeCell ref="B18:E18"/>
    <mergeCell ref="B19:E19"/>
    <mergeCell ref="B20:E20"/>
  </mergeCells>
  <pageMargins left="0.35" right="0.22" top="0.16" bottom="0.75" header="0.3" footer="0.3"/>
  <pageSetup paperSize="9"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Sheet2</vt:lpstr>
      <vt:lpstr>Sheet3</vt:lpstr>
      <vt:lpstr>Sheet4</vt:lpstr>
      <vt:lpstr>Sheet1!Print_Area</vt:lpstr>
      <vt:lpstr>Sheet4!Print_Area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 4</cp:lastModifiedBy>
  <cp:lastPrinted>2023-05-13T11:44:38Z</cp:lastPrinted>
  <dcterms:created xsi:type="dcterms:W3CDTF">2015-09-07T02:44:34Z</dcterms:created>
  <dcterms:modified xsi:type="dcterms:W3CDTF">2023-05-13T11:44:45Z</dcterms:modified>
</cp:coreProperties>
</file>