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externalLinks/externalLink10.xml" ContentType="application/vnd.openxmlformats-officedocument.spreadsheetml.externalLink+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5" windowWidth="20055" windowHeight="7185"/>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 name="Sheet13" sheetId="13" r:id="rId13"/>
    <sheet name="Sheet14" sheetId="14" r:id="rId14"/>
    <sheet name="Sheet15" sheetId="15" r:id="rId15"/>
    <sheet name="Sheet16" sheetId="16" r:id="rId16"/>
    <sheet name="Sheet17" sheetId="17" r:id="rId17"/>
    <sheet name="Sheet18" sheetId="18" r:id="rId18"/>
    <sheet name="Sheet19" sheetId="19" r:id="rId19"/>
    <sheet name="Sheet20" sheetId="20"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calcPr calcId="124519"/>
</workbook>
</file>

<file path=xl/calcChain.xml><?xml version="1.0" encoding="utf-8"?>
<calcChain xmlns="http://schemas.openxmlformats.org/spreadsheetml/2006/main">
  <c r="E16" i="20"/>
  <c r="C16"/>
  <c r="F16" s="1"/>
  <c r="B16"/>
  <c r="E15"/>
  <c r="C15"/>
  <c r="F15" s="1"/>
  <c r="B15"/>
  <c r="E14"/>
  <c r="C14"/>
  <c r="F14" s="1"/>
  <c r="B14"/>
  <c r="E13"/>
  <c r="C13"/>
  <c r="F13" s="1"/>
  <c r="B13"/>
  <c r="E12"/>
  <c r="C12"/>
  <c r="F12" s="1"/>
  <c r="B12"/>
  <c r="A11"/>
  <c r="E10"/>
  <c r="C10"/>
  <c r="F10" s="1"/>
  <c r="B10"/>
  <c r="A10"/>
  <c r="E9"/>
  <c r="C9"/>
  <c r="F9" s="1"/>
  <c r="B9"/>
  <c r="A9"/>
  <c r="E8"/>
  <c r="C8"/>
  <c r="F8" s="1"/>
  <c r="B8"/>
  <c r="A8"/>
  <c r="E7"/>
  <c r="C7"/>
  <c r="F7" s="1"/>
  <c r="B7"/>
  <c r="A7"/>
  <c r="E6"/>
  <c r="C6"/>
  <c r="F6" s="1"/>
  <c r="B6"/>
  <c r="A6"/>
  <c r="E5"/>
  <c r="D5"/>
  <c r="C5"/>
  <c r="F5" s="1"/>
  <c r="B5"/>
  <c r="A5"/>
  <c r="A3"/>
  <c r="F17" l="1"/>
  <c r="F18" l="1"/>
  <c r="F19" s="1"/>
  <c r="F20" l="1"/>
  <c r="F21" s="1"/>
  <c r="E16" i="19" l="1"/>
  <c r="C16"/>
  <c r="F16" s="1"/>
  <c r="B16"/>
  <c r="E15"/>
  <c r="C15"/>
  <c r="F15" s="1"/>
  <c r="B15"/>
  <c r="E14"/>
  <c r="C14"/>
  <c r="F14" s="1"/>
  <c r="B14"/>
  <c r="E13"/>
  <c r="C13"/>
  <c r="F13" s="1"/>
  <c r="B13"/>
  <c r="E12"/>
  <c r="C12"/>
  <c r="F12" s="1"/>
  <c r="B12"/>
  <c r="A11"/>
  <c r="E10"/>
  <c r="C10"/>
  <c r="F10" s="1"/>
  <c r="B10"/>
  <c r="A10"/>
  <c r="E9"/>
  <c r="C9"/>
  <c r="F9" s="1"/>
  <c r="B9"/>
  <c r="A9"/>
  <c r="E8"/>
  <c r="C8"/>
  <c r="F8" s="1"/>
  <c r="B8"/>
  <c r="A8"/>
  <c r="E7"/>
  <c r="C7"/>
  <c r="F7" s="1"/>
  <c r="B7"/>
  <c r="A7"/>
  <c r="E6"/>
  <c r="C6"/>
  <c r="F6" s="1"/>
  <c r="B6"/>
  <c r="A6"/>
  <c r="F5"/>
  <c r="E5"/>
  <c r="D5"/>
  <c r="C5"/>
  <c r="B5"/>
  <c r="A3"/>
  <c r="F17" l="1"/>
  <c r="F19" l="1"/>
  <c r="F18"/>
  <c r="F20" l="1"/>
  <c r="F21" s="1"/>
  <c r="E16" i="15" l="1"/>
  <c r="C16"/>
  <c r="F16" s="1"/>
  <c r="E15"/>
  <c r="C15"/>
  <c r="F15" s="1"/>
  <c r="C14"/>
  <c r="F14" s="1"/>
  <c r="C13"/>
  <c r="F13" s="1"/>
  <c r="E12"/>
  <c r="C12"/>
  <c r="F12" s="1"/>
  <c r="A11"/>
  <c r="E10"/>
  <c r="C10"/>
  <c r="F10" s="1"/>
  <c r="A10"/>
  <c r="E9"/>
  <c r="C9"/>
  <c r="F9" s="1"/>
  <c r="A9"/>
  <c r="E8"/>
  <c r="C8"/>
  <c r="F8" s="1"/>
  <c r="A8"/>
  <c r="C7"/>
  <c r="F7" s="1"/>
  <c r="A7"/>
  <c r="E6"/>
  <c r="C6"/>
  <c r="F6" s="1"/>
  <c r="F17" s="1"/>
  <c r="A6"/>
  <c r="E5"/>
  <c r="C5"/>
  <c r="A3"/>
  <c r="F18" l="1"/>
  <c r="F19"/>
  <c r="F20" l="1"/>
  <c r="F21" s="1"/>
  <c r="E16" i="13" l="1"/>
  <c r="C16"/>
  <c r="F16" s="1"/>
  <c r="E15"/>
  <c r="C15"/>
  <c r="F15" s="1"/>
  <c r="E14"/>
  <c r="C14"/>
  <c r="F14" s="1"/>
  <c r="E13"/>
  <c r="C13"/>
  <c r="F13" s="1"/>
  <c r="E12"/>
  <c r="C12"/>
  <c r="F12" s="1"/>
  <c r="E10"/>
  <c r="C10"/>
  <c r="F10" s="1"/>
  <c r="B10"/>
  <c r="E9"/>
  <c r="C9"/>
  <c r="F9" s="1"/>
  <c r="B9"/>
  <c r="E8"/>
  <c r="C8"/>
  <c r="F8" s="1"/>
  <c r="B8"/>
  <c r="E7"/>
  <c r="C7"/>
  <c r="F7" s="1"/>
  <c r="B7"/>
  <c r="E6"/>
  <c r="C6"/>
  <c r="F6" s="1"/>
  <c r="B6"/>
  <c r="E5"/>
  <c r="C5"/>
  <c r="F5" s="1"/>
  <c r="B5"/>
  <c r="A3"/>
  <c r="F17" l="1"/>
  <c r="F18" l="1"/>
  <c r="F19" s="1"/>
  <c r="F20" l="1"/>
  <c r="F21" s="1"/>
  <c r="E16" i="12" l="1"/>
  <c r="C16"/>
  <c r="F16" s="1"/>
  <c r="E15"/>
  <c r="C15"/>
  <c r="F15" s="1"/>
  <c r="E14"/>
  <c r="C14"/>
  <c r="F14" s="1"/>
  <c r="E13"/>
  <c r="C13"/>
  <c r="F13" s="1"/>
  <c r="E12"/>
  <c r="C12"/>
  <c r="F12" s="1"/>
  <c r="E10"/>
  <c r="C10"/>
  <c r="F10" s="1"/>
  <c r="E9"/>
  <c r="C9"/>
  <c r="F9" s="1"/>
  <c r="E8"/>
  <c r="C8"/>
  <c r="F8" s="1"/>
  <c r="E7"/>
  <c r="C7"/>
  <c r="F7" s="1"/>
  <c r="E6"/>
  <c r="C6"/>
  <c r="F6" s="1"/>
  <c r="E5"/>
  <c r="C5"/>
  <c r="F5" s="1"/>
  <c r="F17" s="1"/>
  <c r="A3"/>
  <c r="F18" l="1"/>
  <c r="F19" s="1"/>
  <c r="F20" l="1"/>
  <c r="F21" s="1"/>
  <c r="E16" i="14" l="1"/>
  <c r="C16"/>
  <c r="E15"/>
  <c r="C15"/>
  <c r="C14"/>
  <c r="F14" s="1"/>
  <c r="C13"/>
  <c r="F13" s="1"/>
  <c r="E12"/>
  <c r="C12"/>
  <c r="A11"/>
  <c r="E10"/>
  <c r="C10"/>
  <c r="A10"/>
  <c r="E9"/>
  <c r="C9"/>
  <c r="A9"/>
  <c r="E8"/>
  <c r="C8"/>
  <c r="A8"/>
  <c r="C7"/>
  <c r="F7" s="1"/>
  <c r="A7"/>
  <c r="E6"/>
  <c r="C6"/>
  <c r="A6"/>
  <c r="C5"/>
  <c r="F10" l="1"/>
  <c r="F8"/>
  <c r="F12"/>
  <c r="F16"/>
  <c r="F6"/>
  <c r="F17" s="1"/>
  <c r="F9"/>
  <c r="F15"/>
  <c r="F18" l="1"/>
  <c r="F19" s="1"/>
  <c r="F20" l="1"/>
  <c r="F21" s="1"/>
  <c r="E16" i="11" l="1"/>
  <c r="C16"/>
  <c r="F16" s="1"/>
  <c r="E15"/>
  <c r="C15"/>
  <c r="F15" s="1"/>
  <c r="E14"/>
  <c r="C14"/>
  <c r="F14" s="1"/>
  <c r="E13"/>
  <c r="C13"/>
  <c r="F13" s="1"/>
  <c r="E12"/>
  <c r="C12"/>
  <c r="F12" s="1"/>
  <c r="A11"/>
  <c r="E10"/>
  <c r="C10"/>
  <c r="F10" s="1"/>
  <c r="A10"/>
  <c r="E9"/>
  <c r="C9"/>
  <c r="F9" s="1"/>
  <c r="A9"/>
  <c r="E8"/>
  <c r="C8"/>
  <c r="F8" s="1"/>
  <c r="A8"/>
  <c r="E7"/>
  <c r="C7"/>
  <c r="F7" s="1"/>
  <c r="A7"/>
  <c r="E6"/>
  <c r="C6"/>
  <c r="F6" s="1"/>
  <c r="A6"/>
  <c r="F5"/>
  <c r="F17" l="1"/>
  <c r="F18" l="1"/>
  <c r="F19" s="1"/>
  <c r="F20" l="1"/>
  <c r="F21" s="1"/>
  <c r="C12" i="18" l="1"/>
  <c r="F12" s="1"/>
  <c r="C11"/>
  <c r="F11" s="1"/>
  <c r="C10"/>
  <c r="F10" s="1"/>
  <c r="C8"/>
  <c r="F8" s="1"/>
  <c r="C7"/>
  <c r="F7" s="1"/>
  <c r="C6"/>
  <c r="F6" s="1"/>
  <c r="C5"/>
  <c r="F5" s="1"/>
  <c r="F13" s="1"/>
  <c r="F9" i="17"/>
  <c r="F8"/>
  <c r="F6"/>
  <c r="F5"/>
  <c r="F10" s="1"/>
  <c r="F11" s="1"/>
  <c r="F12" s="1"/>
  <c r="F13" s="1"/>
  <c r="F14" s="1"/>
  <c r="F9" i="16"/>
  <c r="F7"/>
  <c r="F6"/>
  <c r="F5"/>
  <c r="F10" s="1"/>
  <c r="F11" s="1"/>
  <c r="F12" s="1"/>
  <c r="F13" s="1"/>
  <c r="F14" s="1"/>
  <c r="F14" i="18" l="1"/>
  <c r="F15" s="1"/>
  <c r="E20" i="4"/>
  <c r="C20"/>
  <c r="F20" s="1"/>
  <c r="B20"/>
  <c r="E19"/>
  <c r="C19"/>
  <c r="F19" s="1"/>
  <c r="B19"/>
  <c r="E18"/>
  <c r="C18"/>
  <c r="F18" s="1"/>
  <c r="B18"/>
  <c r="E17"/>
  <c r="C17"/>
  <c r="F17" s="1"/>
  <c r="B17"/>
  <c r="E16"/>
  <c r="C16"/>
  <c r="F16" s="1"/>
  <c r="B16"/>
  <c r="C14"/>
  <c r="F14" s="1"/>
  <c r="C12"/>
  <c r="F12" s="1"/>
  <c r="C10"/>
  <c r="F10" s="1"/>
  <c r="B10"/>
  <c r="A10"/>
  <c r="C9"/>
  <c r="F9" s="1"/>
  <c r="B9"/>
  <c r="A9"/>
  <c r="C8"/>
  <c r="F8" s="1"/>
  <c r="C7"/>
  <c r="F7" s="1"/>
  <c r="A7"/>
  <c r="E6"/>
  <c r="C6"/>
  <c r="F6" s="1"/>
  <c r="C5"/>
  <c r="F5" s="1"/>
  <c r="F21" s="1"/>
  <c r="B5"/>
  <c r="K4"/>
  <c r="B3"/>
  <c r="F16" i="18" l="1"/>
  <c r="F17" s="1"/>
  <c r="F22" i="4"/>
  <c r="F23" s="1"/>
  <c r="F24" l="1"/>
  <c r="F25" s="1"/>
  <c r="F16" i="3" l="1"/>
  <c r="F15"/>
  <c r="F14"/>
  <c r="F13"/>
  <c r="F12"/>
  <c r="F10"/>
  <c r="F9"/>
  <c r="F8"/>
  <c r="F7"/>
  <c r="F6"/>
  <c r="F5"/>
  <c r="F17" s="1"/>
  <c r="F18" s="1"/>
  <c r="F19" s="1"/>
  <c r="F20" s="1"/>
  <c r="F21" s="1"/>
  <c r="E22" i="8" l="1"/>
  <c r="C22"/>
  <c r="F22" s="1"/>
  <c r="E21"/>
  <c r="C21"/>
  <c r="F21" s="1"/>
  <c r="E20"/>
  <c r="C20"/>
  <c r="F20" s="1"/>
  <c r="E19"/>
  <c r="C19"/>
  <c r="F19" s="1"/>
  <c r="E18"/>
  <c r="C18"/>
  <c r="F18" s="1"/>
  <c r="E16"/>
  <c r="C16"/>
  <c r="F16" s="1"/>
  <c r="E15"/>
  <c r="C15"/>
  <c r="F15" s="1"/>
  <c r="E14"/>
  <c r="C14"/>
  <c r="F14" s="1"/>
  <c r="E13"/>
  <c r="C13"/>
  <c r="F13" s="1"/>
  <c r="E12"/>
  <c r="C12"/>
  <c r="F12" s="1"/>
  <c r="E11"/>
  <c r="C11"/>
  <c r="F11" s="1"/>
  <c r="E10"/>
  <c r="C10"/>
  <c r="F10" s="1"/>
  <c r="E9"/>
  <c r="C9"/>
  <c r="F9" s="1"/>
  <c r="E8"/>
  <c r="C8"/>
  <c r="F8" s="1"/>
  <c r="E7"/>
  <c r="C7"/>
  <c r="F7" s="1"/>
  <c r="B7"/>
  <c r="A7"/>
  <c r="E6"/>
  <c r="C6"/>
  <c r="F6" s="1"/>
  <c r="E5"/>
  <c r="C5"/>
  <c r="F5" s="1"/>
  <c r="F23" s="1"/>
  <c r="F24" l="1"/>
  <c r="F25" s="1"/>
  <c r="F26" l="1"/>
  <c r="F27" s="1"/>
  <c r="E16" i="7" l="1"/>
  <c r="C16"/>
  <c r="F16" s="1"/>
  <c r="E15"/>
  <c r="C15"/>
  <c r="F15" s="1"/>
  <c r="E14"/>
  <c r="C14"/>
  <c r="F14" s="1"/>
  <c r="E13"/>
  <c r="C13"/>
  <c r="F13" s="1"/>
  <c r="B13"/>
  <c r="E12"/>
  <c r="C12"/>
  <c r="F12" s="1"/>
  <c r="A11"/>
  <c r="E10"/>
  <c r="C10"/>
  <c r="F10" s="1"/>
  <c r="A10"/>
  <c r="E9"/>
  <c r="C9"/>
  <c r="F9" s="1"/>
  <c r="A9"/>
  <c r="E8"/>
  <c r="C8"/>
  <c r="F8" s="1"/>
  <c r="A8"/>
  <c r="E7"/>
  <c r="C7"/>
  <c r="F7" s="1"/>
  <c r="B7"/>
  <c r="A7"/>
  <c r="E6"/>
  <c r="C6"/>
  <c r="F6" s="1"/>
  <c r="A6"/>
  <c r="E5"/>
  <c r="C5"/>
  <c r="F5" s="1"/>
  <c r="A3"/>
  <c r="F17" l="1"/>
  <c r="F18" l="1"/>
  <c r="F19" s="1"/>
  <c r="F20" l="1"/>
  <c r="F21" s="1"/>
  <c r="E22" i="6" l="1"/>
  <c r="C22"/>
  <c r="F22" s="1"/>
  <c r="B22"/>
  <c r="A22"/>
  <c r="E21"/>
  <c r="C21"/>
  <c r="F21" s="1"/>
  <c r="B21"/>
  <c r="A21"/>
  <c r="E20"/>
  <c r="C20"/>
  <c r="F20" s="1"/>
  <c r="B20"/>
  <c r="A20"/>
  <c r="E19"/>
  <c r="C19"/>
  <c r="F19" s="1"/>
  <c r="B19"/>
  <c r="A19"/>
  <c r="E18"/>
  <c r="C18"/>
  <c r="F18" s="1"/>
  <c r="B18"/>
  <c r="A18"/>
  <c r="A17"/>
  <c r="E16"/>
  <c r="C16"/>
  <c r="F16" s="1"/>
  <c r="B16"/>
  <c r="A16"/>
  <c r="E15"/>
  <c r="C15"/>
  <c r="F15" s="1"/>
  <c r="B15"/>
  <c r="A15"/>
  <c r="E14"/>
  <c r="C14"/>
  <c r="F14" s="1"/>
  <c r="A14"/>
  <c r="E13"/>
  <c r="C13"/>
  <c r="F13" s="1"/>
  <c r="B13"/>
  <c r="A13"/>
  <c r="E12"/>
  <c r="C12"/>
  <c r="F12" s="1"/>
  <c r="B12"/>
  <c r="A12"/>
  <c r="E11"/>
  <c r="C11"/>
  <c r="F11" s="1"/>
  <c r="B11"/>
  <c r="A11"/>
  <c r="E10"/>
  <c r="C10"/>
  <c r="F10" s="1"/>
  <c r="B10"/>
  <c r="A10"/>
  <c r="E9"/>
  <c r="C9"/>
  <c r="F9" s="1"/>
  <c r="B9"/>
  <c r="A9"/>
  <c r="E8"/>
  <c r="C8"/>
  <c r="F8" s="1"/>
  <c r="B8"/>
  <c r="A8"/>
  <c r="E7"/>
  <c r="C7"/>
  <c r="F7" s="1"/>
  <c r="B7"/>
  <c r="A7"/>
  <c r="E6"/>
  <c r="C6"/>
  <c r="F6" s="1"/>
  <c r="B6"/>
  <c r="A6"/>
  <c r="E5"/>
  <c r="D5"/>
  <c r="C5"/>
  <c r="F5" s="1"/>
  <c r="B5"/>
  <c r="A5"/>
  <c r="A3"/>
  <c r="F23" l="1"/>
  <c r="F24" l="1"/>
  <c r="F25" s="1"/>
  <c r="F26" l="1"/>
  <c r="F27" s="1"/>
  <c r="E10" i="5" l="1"/>
  <c r="C10"/>
  <c r="F10" s="1"/>
  <c r="E9"/>
  <c r="C9"/>
  <c r="F9" s="1"/>
  <c r="A8"/>
  <c r="E7"/>
  <c r="C7"/>
  <c r="F7" s="1"/>
  <c r="A7"/>
  <c r="E6"/>
  <c r="C6"/>
  <c r="F6" s="1"/>
  <c r="A6"/>
  <c r="E5"/>
  <c r="C5"/>
  <c r="F5" s="1"/>
  <c r="F11" s="1"/>
  <c r="A3"/>
  <c r="E15" i="1"/>
  <c r="C15"/>
  <c r="F15" s="1"/>
  <c r="E14"/>
  <c r="C14"/>
  <c r="F14" s="1"/>
  <c r="E13"/>
  <c r="C13"/>
  <c r="F13" s="1"/>
  <c r="E12"/>
  <c r="C12"/>
  <c r="F12" s="1"/>
  <c r="E11"/>
  <c r="C11"/>
  <c r="F11" s="1"/>
  <c r="C9"/>
  <c r="F9" s="1"/>
  <c r="C8"/>
  <c r="F8" s="1"/>
  <c r="C7"/>
  <c r="F7" s="1"/>
  <c r="C6"/>
  <c r="F6" s="1"/>
  <c r="F5"/>
  <c r="E15" i="2"/>
  <c r="C15"/>
  <c r="F15" s="1"/>
  <c r="E14"/>
  <c r="C14"/>
  <c r="F14" s="1"/>
  <c r="E13"/>
  <c r="C13"/>
  <c r="F13" s="1"/>
  <c r="E12"/>
  <c r="C12"/>
  <c r="F12" s="1"/>
  <c r="E11"/>
  <c r="C11"/>
  <c r="F11" s="1"/>
  <c r="F10"/>
  <c r="C9"/>
  <c r="F9" s="1"/>
  <c r="C8"/>
  <c r="F8" s="1"/>
  <c r="C7"/>
  <c r="F7" s="1"/>
  <c r="C6"/>
  <c r="F6" s="1"/>
  <c r="C5"/>
  <c r="F5" s="1"/>
  <c r="F16" l="1"/>
  <c r="F17" s="1"/>
  <c r="F18" s="1"/>
  <c r="F16" i="1"/>
  <c r="F17" s="1"/>
  <c r="F18" s="1"/>
  <c r="F12" i="5"/>
  <c r="F13" s="1"/>
  <c r="F14" l="1"/>
  <c r="F15" s="1"/>
  <c r="F19" i="1"/>
  <c r="F20" s="1"/>
  <c r="F19" i="2"/>
  <c r="F20" s="1"/>
</calcChain>
</file>

<file path=xl/sharedStrings.xml><?xml version="1.0" encoding="utf-8"?>
<sst xmlns="http://schemas.openxmlformats.org/spreadsheetml/2006/main" count="718" uniqueCount="187">
  <si>
    <t>RANCHI  MUNICIPAL  CORPORATION,  RANCHI</t>
  </si>
  <si>
    <t>BILL OF QUANTITY</t>
  </si>
  <si>
    <t>NAME OF WORK:- CONSTRUCTION OF PCC ROAD AT ENGINE GADA MORABADI HOUSE OF KAVITA DEVI TO RAJEISTRY OFFICR ROAD UNDER WARD-03 OF RMC, RANCHI</t>
  </si>
  <si>
    <t>SL</t>
  </si>
  <si>
    <t xml:space="preserve"> Item of works</t>
  </si>
  <si>
    <t>Quantity</t>
  </si>
  <si>
    <t>Unit</t>
  </si>
  <si>
    <t xml:space="preserve">Rate          </t>
  </si>
  <si>
    <t xml:space="preserve">Amount                     </t>
  </si>
  <si>
    <t>1                  5.1.1</t>
  </si>
  <si>
    <t xml:space="preserve">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                                                                               </t>
  </si>
  <si>
    <t>M³</t>
  </si>
  <si>
    <t>2.     5.1.10</t>
  </si>
  <si>
    <t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 Mode of measurement compacted volume. )                               </t>
  </si>
  <si>
    <t>3.         5.6.8</t>
  </si>
  <si>
    <t>Supplying and laying (properly as per design and drawing )rip-rap with good quality of boulders duly packed including the cost of materials,royalty all taxes etc.but excluding the cost of carriage, all complete as per specification and direction of E/I.</t>
  </si>
  <si>
    <t>4         5.3.1.1</t>
  </si>
  <si>
    <t>Providing and laying in position cement concrete of specified grade excluding the cost of centering and shuttering - All work up to plinth level 1:1.5:3 ( 1 cement: 1.5 course sand (zone- III): 3 graded stone agreegate 20mm nominal size)</t>
  </si>
  <si>
    <t>5             5.3.17.1</t>
  </si>
  <si>
    <t>Centering and shuttering including strutting, propping etc. and removal of from for Foundations,footings, bases of columns, etc. for mass concrete.</t>
  </si>
  <si>
    <t>M²</t>
  </si>
  <si>
    <t>CARRIAGE OF MATERIALS</t>
  </si>
  <si>
    <t>(i)</t>
  </si>
  <si>
    <t>SAND-LEAD-49KM</t>
  </si>
  <si>
    <t>(ii)</t>
  </si>
  <si>
    <t>LOCAL SAND-LEAD-13KM</t>
  </si>
  <si>
    <t>(iii)</t>
  </si>
  <si>
    <t>STONE CHIPS-LEAD-22KM</t>
  </si>
  <si>
    <t>(iv)</t>
  </si>
  <si>
    <t>BOULDER-LEAD-36KM</t>
  </si>
  <si>
    <t>(v)</t>
  </si>
  <si>
    <t>EARTH-LEAD-1KM</t>
  </si>
  <si>
    <t>TOTAL</t>
  </si>
  <si>
    <t xml:space="preserve">GST18% </t>
  </si>
  <si>
    <t>L CESS 1%</t>
  </si>
  <si>
    <t>NAME OF WORK:- CONSTRUCTION OF PCC ROAD AT HANUMAN NAGAR SUMIT CATERER CHIROUNDI UNDER WARD-03 OF RMC, RANCHI</t>
  </si>
  <si>
    <t xml:space="preserve">RANCHI MUNICIPAL CORPORATION,RANCHI
</t>
  </si>
  <si>
    <t xml:space="preserve">Bill of Quantity
</t>
  </si>
  <si>
    <t>Sl No.</t>
  </si>
  <si>
    <t>Particulars or item of works</t>
  </si>
  <si>
    <t xml:space="preserve">Rate              (in Rs.) </t>
  </si>
  <si>
    <t>Amount                  (in Rs.)</t>
  </si>
  <si>
    <t>Labour for site clearence before and after the work etc.</t>
  </si>
  <si>
    <t>Each</t>
  </si>
  <si>
    <t xml:space="preserve">Providing and laying in position concrete of specified grade excluding the cost of centering and shuttering- All work upto plinth level : 1:1½:3 (1 cemet : 1½ coarse sand (zone-iii) : 3 graded stone aggregate 20mm nominal size )  </t>
  </si>
  <si>
    <t>CHIPS-LEAD-22KM</t>
  </si>
  <si>
    <t>Total</t>
  </si>
  <si>
    <t>Add 18% GST</t>
  </si>
  <si>
    <t>Add 1% Labour cess</t>
  </si>
  <si>
    <t>Say</t>
  </si>
  <si>
    <t>RANCHI MUNICIPAL CORPORATION, RANCHI</t>
  </si>
  <si>
    <t>Bill of Quantity</t>
  </si>
  <si>
    <t>S.No.</t>
  </si>
  <si>
    <t xml:space="preserve">Rate          (in Rs.) </t>
  </si>
  <si>
    <t>Amount                     (in Rs.)</t>
  </si>
  <si>
    <t>cum</t>
  </si>
  <si>
    <t>MT</t>
  </si>
  <si>
    <t>sqm</t>
  </si>
  <si>
    <t>Add 1% Labour Cess</t>
  </si>
  <si>
    <t xml:space="preserve">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                                                                                </t>
  </si>
  <si>
    <t>Supplying and laying (properly as per design and drawing ) rip-rap with good quality of boulders duly packed including the cost of materials,royalty all taxes etc.but excluding the cost of carriage, all complete as per specification and direction of E/I.</t>
  </si>
  <si>
    <t xml:space="preserve">  J.E.</t>
  </si>
  <si>
    <t>E.E.</t>
  </si>
  <si>
    <t>R.M.C.</t>
  </si>
  <si>
    <t xml:space="preserve">Name of Work :-CONSTRUCTION OF PCC ROAD AT PARSHAD GALI FROM KALIM HOUSE TO SARFARAJ HOUSE  AND (NALA ROAD) UNDER WARD NO. 23 </t>
  </si>
  <si>
    <t>2       5.10.2</t>
  </si>
  <si>
    <t>Dismantling  plain cement concrete or lime concrete work including stacking serviceable material in countable stacks withnn 15M.lead and disposal of unserviceable material with all lead completed as per direction of E/I.</t>
  </si>
  <si>
    <t>4 (J.B.C.D.5.1.1.)</t>
  </si>
  <si>
    <t>5.           M-004</t>
  </si>
  <si>
    <t xml:space="preserve">Providing stone cruster dust finer than 3mm with not more than 10% passing 0.075 sieve at Quarry in filling in foundation trenches or in plinth including  ramming and watering in layers not exceeding 150 mm thick with all leads and lifts including cost of materials , labour , royalty and taxes all complete as per specification and  direction of E/I.                   </t>
  </si>
  <si>
    <t>6.        (J.B.C.D.-5.6.8)</t>
  </si>
  <si>
    <t>7.     5.3.1.1</t>
  </si>
  <si>
    <t>8.                                    5.3.10</t>
  </si>
  <si>
    <t xml:space="preserve">Reinforced cement concrete work in walls (any thickness),including  attached pilasters, buttresses, plinth and string courses, fillets, columns,pillars, piers, abutments, posts and struts etc.above plinth level upto to five level, excluding the cost of centering, shuttering, finishing and reinforcement  with 1:1½:3 (1 cemet : 1½ coarse sand (zone-iii) : 3 graded stone aggregate 20mm nominal size ) </t>
  </si>
  <si>
    <t>9                  5.3.11</t>
  </si>
  <si>
    <t xml:space="preserve">Reinforced cement concrete work in beam, suspended floors, roofs having slope up to 15° landing,balconies, shelves, chajjas, lintel, bands, plain window sills, staircases and spiral stair cases above plinth level up to floor five level, excluding the cost of centering, shuttering, finishing and reinfocement, with 1:1.5:3(1 cement : 1.5 coarse sand(zone-iii) : 3 graded  stone aggregate 20mm nominal size)                                                             </t>
  </si>
  <si>
    <t>10   J.B.C.D.   5.5.4</t>
  </si>
  <si>
    <t>Providing Tor steel reinforcement of 8mm, 10mm,12mmand 16mmbars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</si>
  <si>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5.5.5(a)</t>
  </si>
  <si>
    <t>11                 5.3.17.1</t>
  </si>
  <si>
    <t>STONE DUST-22KM</t>
  </si>
  <si>
    <t xml:space="preserve">BILL OF QUANTITY </t>
  </si>
  <si>
    <t>Name of Work :- Construction of PCC Road from nizam genral store to house of ikram ansari at elahi bask colony chidhiya gali ward no 12.</t>
  </si>
  <si>
    <t>Sl. No.</t>
  </si>
  <si>
    <t>Items of work</t>
  </si>
  <si>
    <t>Qnty.</t>
  </si>
  <si>
    <t>Rate</t>
  </si>
  <si>
    <t>Amount</t>
  </si>
  <si>
    <t>Labour for cleaning the work site before and after work etc.</t>
  </si>
  <si>
    <t>2
5.1.1 J.B.C.D</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</si>
  <si>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</si>
  <si>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m3</t>
  </si>
  <si>
    <t xml:space="preserve">3
4/M004 </t>
  </si>
  <si>
    <t>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t>
  </si>
  <si>
    <t>4
5.6.8 J.B.C.D</t>
  </si>
  <si>
    <t>Supplying and laying (properly as per design and drawing) rip-rap with good  quality of boulders duly packed including the cost of materials, royalty all taxes etc. but excluding the cost of carriage all complete as per specification and direction of E/I.</t>
  </si>
  <si>
    <t>5
J.B.C.D 5.3.1.1</t>
  </si>
  <si>
    <t>Providing and laying in position cement concrete of specified grade excluding the cost of centering and shutering  All work upto pilith level.1:1.5.3(1 Cement:1.5 coarse sand(zone iii):3graded stone Aggregate 20mm nomial size.</t>
  </si>
  <si>
    <t>6
   J.B.C.D 5.3.17.1</t>
  </si>
  <si>
    <t xml:space="preserve">Centering and shuttering including strutting , etc and removel of form for  foundation, footings bases of column etc for mass concrete.             </t>
  </si>
  <si>
    <t>m2</t>
  </si>
  <si>
    <t>Carriage of Materials</t>
  </si>
  <si>
    <t>i</t>
  </si>
  <si>
    <t>Sand (Lead 42 KM)</t>
  </si>
  <si>
    <t>ii</t>
  </si>
  <si>
    <t>Sand Local / Dust(Lead 25 KM)</t>
  </si>
  <si>
    <t>iii</t>
  </si>
  <si>
    <t>Stone Chips  (Lead 25 KM)</t>
  </si>
  <si>
    <t>iv</t>
  </si>
  <si>
    <t>BOULDER-LEAD-( 29 KM )</t>
  </si>
  <si>
    <t>v</t>
  </si>
  <si>
    <t>Earth (Lead 01 KM)</t>
  </si>
  <si>
    <t>GST (18%)</t>
  </si>
  <si>
    <t>L. CESS (1%)</t>
  </si>
  <si>
    <t>ITEM OF WORK</t>
  </si>
  <si>
    <t>1  5.10.3</t>
  </si>
  <si>
    <t>M3</t>
  </si>
  <si>
    <t>2.            5.1.1 + 5.1.2</t>
  </si>
  <si>
    <t>4.      8.6.8</t>
  </si>
  <si>
    <t>7. 5.5.5 (b)</t>
  </si>
  <si>
    <t>Providing Tor steel reinforcement of 8 mm &amp; 10 mm dia rods as per approved design and drawing  ………..do………TMT Fe500(Only Valid for Tata(Tiscon),Sail,JSPL,Electrosteel Steels Ltd. Bokaro and Vizag(RINL))</t>
  </si>
  <si>
    <t xml:space="preserve"> 10 mm Dia 100%</t>
  </si>
  <si>
    <t>M.T.</t>
  </si>
  <si>
    <t>8  5.3.17.1</t>
  </si>
  <si>
    <t xml:space="preserve">Centering and Shuttering including struting,propping etc and removal of from for                               </t>
  </si>
  <si>
    <t>Foundation, footing s bases of Coloumns etc for mass Concrete</t>
  </si>
  <si>
    <t>M2</t>
  </si>
  <si>
    <r>
      <t>M</t>
    </r>
    <r>
      <rPr>
        <b/>
        <vertAlign val="superscript"/>
        <sz val="10"/>
        <rFont val="Century"/>
        <family val="1"/>
      </rPr>
      <t>3</t>
    </r>
  </si>
  <si>
    <t>Add 18% GST (+) :</t>
  </si>
  <si>
    <t>Grand Total</t>
  </si>
  <si>
    <t>Add 1% Labour Cess (+) :</t>
  </si>
  <si>
    <t xml:space="preserve"> </t>
  </si>
  <si>
    <t>Name of Work :- Laying of bituminous concrete at North office Para from Anthoni chowk via Satyam shivam to bridge and near Hanuman Mandir ( Gouri shanker Nagar) Under ward no.43.</t>
  </si>
  <si>
    <t>1
5.2 (1)</t>
  </si>
  <si>
    <t>Providing and applying TACK COAT with bitumen emulsion using pressure distributor at the rate of 0.20kg/sqm on the prepared bituminious/granular surface cleaned with mechanical broom.</t>
  </si>
  <si>
    <t xml:space="preserve"> 2
5.05(A) GRADING-1</t>
  </si>
  <si>
    <t>Providing and laying bituminous concrete with higher capacity batch type hot mix plant using crushed aggregate of specified grading premixed with bituninous binder @5.2 percent of mix and filler transporting the hot mix to worksite laying with a hydrostatic paver finisher with sensor control to the required grade,leveland alignment,rolling with smooth wheeled,vibrated and tandem rollers to achieve the desired compaction as per MORT&amp;H specification clause no. 507 complete in all respects.</t>
  </si>
  <si>
    <t>3
8.13</t>
  </si>
  <si>
    <t>Road marking with HOT applied Thermoplastic compound with reflectorising  beads on bituminous surface</t>
  </si>
  <si>
    <t>CHIPS-LEAD-15 KM</t>
  </si>
  <si>
    <t>Name of Work :- Construction of PCC Road at Gouri Shanker Nagar From Justice D.N. Prasad house to Rail line mode under Ward NO. 43.</t>
  </si>
  <si>
    <t>1    J.B.C.D.
5.3.1.1</t>
  </si>
  <si>
    <t>Providing P.C.C.M-200 in nominal mix of (1:1.5:3) in foundation with approved quality of stone chips 20mm nominal size graded…………. as per specification and……... direction of E/I.</t>
  </si>
  <si>
    <t>2            5.3.17.1</t>
  </si>
  <si>
    <t>Centering and shuttering including strutting, propping etc. and removal of form for Foundation, footing, bases of columns, etc for mass concrete</t>
  </si>
  <si>
    <t>SAND-LEAD-42KM</t>
  </si>
  <si>
    <t>NAME OF WORK- CONSTRUCTION OF PCC ROAD AT GHAT ROAD NO 1 BY LANE FROM HOUSE OF VINODTO HOUSE GHAT ROAD NO 1 UNDER WARD46.</t>
  </si>
  <si>
    <t xml:space="preserve">Rate      (in Rs.) </t>
  </si>
  <si>
    <t>Amount   (in Rs.)</t>
  </si>
  <si>
    <t>1 .(.J.B.C.D.5.1.1.+5.1.2.)</t>
  </si>
  <si>
    <t xml:space="preserve"> 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E/I+Extra for earthworkin hard soil as per specification and direction of E/I.(vide classification of soil item-B)                                                                                </t>
  </si>
  <si>
    <t xml:space="preserve">2        4.01   RCD              </t>
  </si>
  <si>
    <t>By Mix in place Method (construction of Granular sub base by providing close graded material ,spreading in uniform layers with motor grader on prepared surface,mixing by mix in place method with rotavator at OMC, and compacting with  vibratory roller to achive the desired density,complete as per clause 401.</t>
  </si>
  <si>
    <t>4   5.3.17</t>
  </si>
  <si>
    <t>JSR
5.3.1.2</t>
  </si>
  <si>
    <t>Providing and laying in position cement concrete of specfied grade excluding the cost of centering and shuttering-All work up to plinth level.1:1.5:3(1Cement:1.5coarse sand(Zone-III): 3 graded stone aggregate 20mm nominal size)</t>
  </si>
  <si>
    <t>CHIPS-LEAD-15KM</t>
  </si>
  <si>
    <t>EARTH-LEAD-1km</t>
  </si>
  <si>
    <t>Add GST 18%</t>
  </si>
  <si>
    <t>Add 1% L/Cess</t>
  </si>
  <si>
    <r>
      <t>NAME OF WORK- :-</t>
    </r>
    <r>
      <rPr>
        <b/>
        <sz val="11"/>
        <color theme="1"/>
        <rFont val="Century"/>
        <family val="1"/>
      </rPr>
      <t>DETAIL ESTIMATE  FOR CONSTRUCTION OF PCC ROAD AT PANCHWATI NAGAR NEAR ITI HOUSE OF SITARAM GOPE TO HOUSE OF RAMDEO JEE UNDER WARD NO-33</t>
    </r>
  </si>
  <si>
    <t>no.</t>
  </si>
  <si>
    <t xml:space="preserve">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                                                                              </t>
  </si>
  <si>
    <t>LOCAL SAND-LEAD-18KM</t>
  </si>
  <si>
    <t>STONE CHIPS-LEAD-15KM</t>
  </si>
  <si>
    <t>BOULDER-LEAD-29KM</t>
  </si>
  <si>
    <t>Add 1% labur case</t>
  </si>
  <si>
    <r>
      <rPr>
        <b/>
        <sz val="12"/>
        <color theme="1"/>
        <rFont val="Century"/>
        <family val="1"/>
      </rPr>
      <t>Name of Work</t>
    </r>
    <r>
      <rPr>
        <sz val="12"/>
        <color theme="1"/>
        <rFont val="Century"/>
        <family val="1"/>
      </rPr>
      <t xml:space="preserve"> :</t>
    </r>
    <r>
      <rPr>
        <sz val="11"/>
        <color theme="1"/>
        <rFont val="Century"/>
        <family val="1"/>
      </rPr>
      <t>-</t>
    </r>
    <r>
      <rPr>
        <b/>
        <sz val="12"/>
        <color theme="1"/>
        <rFont val="Century"/>
        <family val="1"/>
      </rPr>
      <t>CONSTRUCTION OF PCC R0AD AT BATHNIA  DIBDHI HOUSE OF U. SANGA TO HOUSE OF LOLAN TIGGA UNDER WARD NO-36</t>
    </r>
  </si>
  <si>
    <t>NO</t>
  </si>
  <si>
    <t>Add 1% LABUR CASE</t>
  </si>
  <si>
    <t xml:space="preserve">    J.E.</t>
  </si>
  <si>
    <t>A.E</t>
  </si>
  <si>
    <t>R.M.C</t>
  </si>
  <si>
    <t>Item of works</t>
  </si>
  <si>
    <t>No.</t>
  </si>
  <si>
    <t>2       5.1.1.</t>
  </si>
  <si>
    <t>3.           M-004</t>
  </si>
  <si>
    <t xml:space="preserve">Providing stone cruster dust finer than 3mm with not more than 10% passing 0.075 sieve at Quarry in filling in foundation trenches or in plinth including  ramming and watering in layers not exceeding 150 mm thick with all leads and lifts including cost of materials , labour , royalty and taxes all complete as per specification and  direction of E/I. (Mode of measurement compacted volume. )                               </t>
  </si>
  <si>
    <t>4.       5.6.8 (C.I.W.)</t>
  </si>
  <si>
    <t>5.     5.3.1.1</t>
  </si>
  <si>
    <t xml:space="preserve">Providing and laying in position cement concrete of specified grade excluding the cost of centering and shuttering- All work upto plinth level : 1:1½:3 (1 cemet : 1½ coarse sand (zone-iii) : 3 graded stone aggregate 20mm nominal size )  </t>
  </si>
  <si>
    <t>6               5.3.17.1</t>
  </si>
  <si>
    <t>Centering and shuttering including strutting, propping etc. and removal of from for Foundations, footings, bases of columns, etc. for mass concrete.</t>
  </si>
  <si>
    <t>STONE DUST-LEAD-22KM</t>
  </si>
  <si>
    <t>EARTH-LEAD-01km</t>
  </si>
  <si>
    <t>Nos</t>
  </si>
  <si>
    <t xml:space="preserve">Say </t>
  </si>
</sst>
</file>

<file path=xl/styles.xml><?xml version="1.0" encoding="utf-8"?>
<styleSheet xmlns="http://schemas.openxmlformats.org/spreadsheetml/2006/main">
  <numFmts count="3">
    <numFmt numFmtId="164" formatCode="&quot;₹&quot;\ #,##0.00"/>
    <numFmt numFmtId="165" formatCode="0.0"/>
    <numFmt numFmtId="166" formatCode="0.000"/>
  </numFmts>
  <fonts count="58">
    <font>
      <sz val="14"/>
      <color theme="1"/>
      <name val="Calibri"/>
      <family val="2"/>
      <scheme val="minor"/>
    </font>
    <font>
      <sz val="11"/>
      <color theme="1"/>
      <name val="Calibri"/>
      <family val="2"/>
      <scheme val="minor"/>
    </font>
    <font>
      <b/>
      <sz val="12"/>
      <color theme="1"/>
      <name val="Century"/>
      <family val="1"/>
    </font>
    <font>
      <b/>
      <sz val="10"/>
      <color theme="1"/>
      <name val="Century"/>
      <family val="1"/>
    </font>
    <font>
      <b/>
      <sz val="10"/>
      <color theme="1"/>
      <name val="Calibri"/>
      <family val="2"/>
      <scheme val="minor"/>
    </font>
    <font>
      <b/>
      <sz val="9"/>
      <color theme="1"/>
      <name val="Arial"/>
      <family val="2"/>
    </font>
    <font>
      <sz val="9"/>
      <color theme="1"/>
      <name val="Arial"/>
      <family val="2"/>
    </font>
    <font>
      <sz val="10"/>
      <color theme="1"/>
      <name val="Calibri"/>
      <family val="2"/>
      <scheme val="minor"/>
    </font>
    <font>
      <b/>
      <sz val="9"/>
      <color theme="1"/>
      <name val="Calibri"/>
      <family val="2"/>
      <scheme val="minor"/>
    </font>
    <font>
      <sz val="9"/>
      <color theme="1"/>
      <name val="Calibri"/>
      <family val="2"/>
      <scheme val="minor"/>
    </font>
    <font>
      <sz val="9"/>
      <color indexed="8"/>
      <name val="Tahoma"/>
      <family val="2"/>
    </font>
    <font>
      <sz val="9"/>
      <color indexed="8"/>
      <name val="Calibri"/>
      <family val="2"/>
      <scheme val="minor"/>
    </font>
    <font>
      <b/>
      <sz val="9"/>
      <color theme="1"/>
      <name val="Calibri"/>
      <family val="2"/>
    </font>
    <font>
      <sz val="9"/>
      <color theme="1"/>
      <name val="Calibri"/>
      <family val="2"/>
    </font>
    <font>
      <sz val="10"/>
      <name val="Arial"/>
      <family val="2"/>
    </font>
    <font>
      <b/>
      <u/>
      <sz val="20"/>
      <color theme="1"/>
      <name val="Arial"/>
      <family val="2"/>
    </font>
    <font>
      <b/>
      <u/>
      <sz val="14"/>
      <color theme="1"/>
      <name val="Arial"/>
      <family val="2"/>
    </font>
    <font>
      <b/>
      <sz val="10"/>
      <color theme="1"/>
      <name val="Arial"/>
      <family val="2"/>
    </font>
    <font>
      <b/>
      <sz val="10"/>
      <name val="Arial"/>
      <family val="2"/>
    </font>
    <font>
      <b/>
      <sz val="11"/>
      <color theme="1"/>
      <name val="Arial"/>
      <family val="2"/>
    </font>
    <font>
      <sz val="10"/>
      <color theme="1"/>
      <name val="Arial"/>
      <family val="2"/>
    </font>
    <font>
      <b/>
      <i/>
      <sz val="10"/>
      <color theme="1"/>
      <name val="Arial"/>
      <family val="2"/>
    </font>
    <font>
      <sz val="11"/>
      <color theme="1"/>
      <name val="Arial"/>
      <family val="2"/>
    </font>
    <font>
      <b/>
      <sz val="12"/>
      <color theme="1"/>
      <name val="Arial"/>
      <family val="2"/>
    </font>
    <font>
      <sz val="12"/>
      <color theme="1"/>
      <name val="Arial"/>
      <family val="2"/>
    </font>
    <font>
      <b/>
      <sz val="12"/>
      <name val="Arial"/>
      <family val="2"/>
    </font>
    <font>
      <b/>
      <sz val="18"/>
      <color theme="1"/>
      <name val="Arial"/>
      <family val="2"/>
    </font>
    <font>
      <b/>
      <sz val="14"/>
      <color theme="1"/>
      <name val="Arial"/>
      <family val="2"/>
    </font>
    <font>
      <sz val="11"/>
      <name val="Arial"/>
      <family val="2"/>
    </font>
    <font>
      <b/>
      <u/>
      <sz val="18"/>
      <color theme="1"/>
      <name val="Arial"/>
      <family val="2"/>
    </font>
    <font>
      <b/>
      <u/>
      <sz val="16"/>
      <color theme="1"/>
      <name val="Arial"/>
      <family val="2"/>
    </font>
    <font>
      <b/>
      <sz val="11"/>
      <color theme="1"/>
      <name val="Calibri"/>
      <family val="2"/>
      <scheme val="minor"/>
    </font>
    <font>
      <b/>
      <sz val="14"/>
      <color theme="1"/>
      <name val="Calibri"/>
      <family val="2"/>
      <scheme val="minor"/>
    </font>
    <font>
      <b/>
      <sz val="11"/>
      <color theme="1"/>
      <name val="Century"/>
      <family val="1"/>
    </font>
    <font>
      <b/>
      <sz val="8"/>
      <color theme="1"/>
      <name val="Century"/>
      <family val="1"/>
    </font>
    <font>
      <b/>
      <sz val="16"/>
      <color theme="1"/>
      <name val="Century"/>
      <family val="1"/>
    </font>
    <font>
      <b/>
      <sz val="9"/>
      <color theme="1"/>
      <name val="Century"/>
      <family val="1"/>
    </font>
    <font>
      <b/>
      <sz val="8"/>
      <name val="Century"/>
      <family val="1"/>
    </font>
    <font>
      <b/>
      <sz val="10"/>
      <name val="Century"/>
      <family val="1"/>
    </font>
    <font>
      <b/>
      <vertAlign val="superscript"/>
      <sz val="10"/>
      <name val="Century"/>
      <family val="1"/>
    </font>
    <font>
      <b/>
      <u/>
      <sz val="11"/>
      <color theme="1"/>
      <name val="Cambria"/>
      <family val="1"/>
      <scheme val="major"/>
    </font>
    <font>
      <b/>
      <u/>
      <sz val="11"/>
      <color theme="1"/>
      <name val="Calibri"/>
      <family val="2"/>
      <scheme val="minor"/>
    </font>
    <font>
      <b/>
      <sz val="11"/>
      <color theme="1"/>
      <name val="Calibri"/>
      <family val="2"/>
    </font>
    <font>
      <b/>
      <i/>
      <u/>
      <sz val="11"/>
      <color theme="1"/>
      <name val="Calibri"/>
      <family val="2"/>
      <scheme val="minor"/>
    </font>
    <font>
      <sz val="12"/>
      <color theme="1"/>
      <name val="Calibri"/>
      <family val="2"/>
      <scheme val="minor"/>
    </font>
    <font>
      <sz val="12"/>
      <color theme="1"/>
      <name val="Century"/>
      <family val="1"/>
    </font>
    <font>
      <sz val="11"/>
      <color theme="1"/>
      <name val="Century"/>
      <family val="1"/>
    </font>
    <font>
      <b/>
      <sz val="20"/>
      <color theme="1"/>
      <name val="Century"/>
      <family val="1"/>
    </font>
    <font>
      <b/>
      <sz val="12"/>
      <color theme="1"/>
      <name val="Calibri"/>
      <family val="2"/>
      <scheme val="minor"/>
    </font>
    <font>
      <sz val="12"/>
      <name val="Calibri"/>
      <family val="2"/>
      <scheme val="minor"/>
    </font>
    <font>
      <b/>
      <sz val="11"/>
      <name val="Arial"/>
      <family val="2"/>
    </font>
    <font>
      <b/>
      <sz val="14"/>
      <color theme="1"/>
      <name val="Century"/>
      <family val="1"/>
    </font>
    <font>
      <b/>
      <u/>
      <sz val="11"/>
      <color theme="1"/>
      <name val="Century"/>
      <family val="1"/>
    </font>
    <font>
      <b/>
      <sz val="16"/>
      <color theme="1"/>
      <name val="Arial"/>
      <family val="2"/>
    </font>
    <font>
      <b/>
      <u/>
      <sz val="11"/>
      <color theme="1"/>
      <name val="Arial"/>
      <family val="2"/>
    </font>
    <font>
      <sz val="12"/>
      <name val="Arial"/>
      <family val="2"/>
    </font>
    <font>
      <b/>
      <u/>
      <sz val="10"/>
      <color theme="1"/>
      <name val="Arial"/>
      <family val="2"/>
    </font>
    <font>
      <b/>
      <u/>
      <sz val="10"/>
      <color theme="1"/>
      <name val="Century"/>
      <family val="1"/>
    </font>
  </fonts>
  <fills count="5">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theme="1" tint="0.3499862666707357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11">
    <xf numFmtId="0" fontId="0" fillId="0" borderId="0"/>
    <xf numFmtId="0" fontId="1" fillId="0" borderId="0"/>
    <xf numFmtId="0" fontId="14" fillId="0" borderId="0"/>
    <xf numFmtId="0" fontId="14" fillId="0" borderId="0"/>
    <xf numFmtId="0" fontId="1" fillId="0" borderId="0"/>
    <xf numFmtId="0" fontId="14" fillId="0" borderId="0"/>
    <xf numFmtId="0" fontId="1" fillId="0" borderId="0"/>
    <xf numFmtId="0" fontId="14" fillId="0" borderId="0"/>
    <xf numFmtId="0" fontId="14" fillId="0" borderId="0"/>
    <xf numFmtId="0" fontId="14" fillId="0" borderId="0"/>
    <xf numFmtId="0" fontId="1" fillId="0" borderId="0"/>
  </cellStyleXfs>
  <cellXfs count="310">
    <xf numFmtId="0" fontId="0" fillId="0" borderId="0" xfId="0"/>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1" applyFont="1" applyBorder="1" applyAlignment="1">
      <alignment horizontal="center" vertical="center" wrapText="1"/>
    </xf>
    <xf numFmtId="0" fontId="6" fillId="0" borderId="1" xfId="1" applyFont="1" applyBorder="1" applyAlignment="1">
      <alignment horizontal="justify" vertical="top" wrapText="1"/>
    </xf>
    <xf numFmtId="2" fontId="5" fillId="0" borderId="1" xfId="1" applyNumberFormat="1" applyFont="1" applyBorder="1" applyAlignment="1">
      <alignment horizontal="center" vertical="center" wrapText="1"/>
    </xf>
    <xf numFmtId="2" fontId="6" fillId="0" borderId="1" xfId="1" applyNumberFormat="1" applyFont="1" applyBorder="1" applyAlignment="1">
      <alignment horizontal="center" vertical="center"/>
    </xf>
    <xf numFmtId="2" fontId="5" fillId="0" borderId="1" xfId="1" applyNumberFormat="1" applyFont="1" applyBorder="1" applyAlignment="1">
      <alignment horizontal="center" vertical="center"/>
    </xf>
    <xf numFmtId="164" fontId="5" fillId="0" borderId="1" xfId="1" applyNumberFormat="1" applyFont="1" applyBorder="1" applyAlignment="1">
      <alignment horizontal="center" vertical="center"/>
    </xf>
    <xf numFmtId="0" fontId="7" fillId="0" borderId="0" xfId="0" applyFont="1"/>
    <xf numFmtId="0" fontId="8" fillId="0" borderId="1" xfId="0" applyFont="1" applyBorder="1" applyAlignment="1">
      <alignment horizontal="center" vertical="center" wrapText="1"/>
    </xf>
    <xf numFmtId="0" fontId="9" fillId="0" borderId="1" xfId="0" applyFont="1" applyBorder="1" applyAlignment="1">
      <alignment horizontal="justify" vertical="top" wrapText="1"/>
    </xf>
    <xf numFmtId="2" fontId="9" fillId="0" borderId="1" xfId="0" applyNumberFormat="1" applyFont="1" applyBorder="1" applyAlignment="1">
      <alignment horizontal="center" vertical="center"/>
    </xf>
    <xf numFmtId="0" fontId="1" fillId="0" borderId="0" xfId="0" applyFont="1"/>
    <xf numFmtId="0" fontId="10" fillId="2" borderId="1" xfId="0" quotePrefix="1" applyFont="1" applyFill="1" applyBorder="1" applyAlignment="1">
      <alignment horizontal="center" vertical="center" wrapText="1"/>
    </xf>
    <xf numFmtId="0" fontId="11" fillId="2" borderId="1" xfId="0" applyFont="1" applyFill="1" applyBorder="1" applyAlignment="1">
      <alignment horizontal="justify" vertical="top" wrapText="1"/>
    </xf>
    <xf numFmtId="2"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2" fontId="8" fillId="0" borderId="1" xfId="0" applyNumberFormat="1" applyFont="1" applyBorder="1" applyAlignment="1">
      <alignment horizontal="center" vertical="center" wrapText="1"/>
    </xf>
    <xf numFmtId="0" fontId="12" fillId="0" borderId="1" xfId="0" applyFont="1" applyBorder="1" applyAlignment="1">
      <alignment horizontal="center" vertical="top" wrapText="1"/>
    </xf>
    <xf numFmtId="0" fontId="12" fillId="0" borderId="1" xfId="0" applyFont="1" applyBorder="1" applyAlignment="1">
      <alignment horizontal="justify" vertical="top" wrapText="1"/>
    </xf>
    <xf numFmtId="2" fontId="13" fillId="0" borderId="1" xfId="0" applyNumberFormat="1" applyFont="1" applyBorder="1" applyAlignment="1">
      <alignment horizontal="center" vertical="center"/>
    </xf>
    <xf numFmtId="0" fontId="8" fillId="0" borderId="1" xfId="0" applyFont="1" applyBorder="1" applyAlignment="1">
      <alignment horizontal="center" vertical="top"/>
    </xf>
    <xf numFmtId="0" fontId="9" fillId="0" borderId="1" xfId="0" applyFont="1" applyBorder="1" applyAlignment="1">
      <alignment horizontal="justify" vertical="top"/>
    </xf>
    <xf numFmtId="2" fontId="9" fillId="0" borderId="1" xfId="0" applyNumberFormat="1" applyFont="1" applyBorder="1" applyAlignment="1">
      <alignment horizontal="justify" vertical="top"/>
    </xf>
    <xf numFmtId="0" fontId="8" fillId="0" borderId="1" xfId="0" applyFont="1" applyBorder="1" applyAlignment="1">
      <alignment horizontal="center"/>
    </xf>
    <xf numFmtId="0" fontId="8" fillId="0" borderId="1" xfId="0" applyFont="1" applyBorder="1" applyAlignment="1">
      <alignment horizontal="left" vertical="center" wrapText="1"/>
    </xf>
    <xf numFmtId="0" fontId="1" fillId="0" borderId="0" xfId="0" applyFont="1" applyAlignment="1">
      <alignment horizontal="center" vertical="center"/>
    </xf>
    <xf numFmtId="0" fontId="9" fillId="0" borderId="1" xfId="0" applyFont="1" applyBorder="1" applyAlignment="1">
      <alignment horizontal="center" vertical="center"/>
    </xf>
    <xf numFmtId="2" fontId="8" fillId="0" borderId="1" xfId="0" applyNumberFormat="1" applyFont="1" applyBorder="1" applyAlignment="1">
      <alignment horizontal="center" vertical="center"/>
    </xf>
    <xf numFmtId="0" fontId="8" fillId="0" borderId="1" xfId="0" applyFont="1" applyBorder="1"/>
    <xf numFmtId="0" fontId="8" fillId="0" borderId="1" xfId="0" applyFont="1" applyBorder="1" applyAlignment="1">
      <alignment vertical="top"/>
    </xf>
    <xf numFmtId="0" fontId="1" fillId="0" borderId="1" xfId="0" applyFont="1" applyBorder="1" applyAlignment="1">
      <alignment horizontal="center" vertical="center"/>
    </xf>
    <xf numFmtId="164" fontId="8" fillId="0" borderId="1" xfId="0" applyNumberFormat="1" applyFont="1" applyBorder="1" applyAlignment="1">
      <alignment horizontal="center" vertical="center"/>
    </xf>
    <xf numFmtId="2" fontId="1" fillId="0" borderId="0" xfId="0" applyNumberFormat="1" applyFont="1"/>
    <xf numFmtId="2" fontId="0" fillId="0" borderId="0" xfId="0" applyNumberFormat="1"/>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164" fontId="18" fillId="0" borderId="1" xfId="0" applyNumberFormat="1" applyFont="1" applyBorder="1" applyAlignment="1">
      <alignment horizontal="center" wrapText="1"/>
    </xf>
    <xf numFmtId="0" fontId="19" fillId="0" borderId="1" xfId="0" applyFont="1" applyBorder="1" applyAlignment="1">
      <alignment horizontal="center" vertical="center" wrapText="1"/>
    </xf>
    <xf numFmtId="0" fontId="20" fillId="0" borderId="1" xfId="0" applyFont="1" applyBorder="1" applyAlignment="1">
      <alignment horizontal="justify" vertical="center" wrapText="1"/>
    </xf>
    <xf numFmtId="2" fontId="17" fillId="0" borderId="1" xfId="0" applyNumberFormat="1" applyFont="1" applyBorder="1" applyAlignment="1">
      <alignment horizontal="center" vertical="center"/>
    </xf>
    <xf numFmtId="2" fontId="20" fillId="0" borderId="1" xfId="0" applyNumberFormat="1" applyFont="1" applyBorder="1" applyAlignment="1">
      <alignment horizontal="center" vertical="center"/>
    </xf>
    <xf numFmtId="164" fontId="18" fillId="0" borderId="1" xfId="0" applyNumberFormat="1" applyFont="1" applyBorder="1" applyAlignment="1">
      <alignment horizontal="center" vertical="center" wrapText="1"/>
    </xf>
    <xf numFmtId="164" fontId="19" fillId="0" borderId="1" xfId="0" applyNumberFormat="1" applyFont="1" applyBorder="1" applyAlignment="1">
      <alignment horizontal="center" vertical="center"/>
    </xf>
    <xf numFmtId="0" fontId="14" fillId="0" borderId="1" xfId="0" applyFont="1" applyBorder="1" applyAlignment="1" applyProtection="1">
      <alignment horizontal="justify" vertical="top"/>
      <protection locked="0"/>
    </xf>
    <xf numFmtId="164" fontId="18" fillId="0" borderId="1" xfId="0" applyNumberFormat="1" applyFont="1" applyBorder="1" applyAlignment="1">
      <alignment horizontal="center" vertical="center"/>
    </xf>
    <xf numFmtId="0" fontId="20" fillId="0" borderId="1" xfId="0" applyFont="1" applyBorder="1" applyAlignment="1">
      <alignment horizontal="justify" vertical="top" wrapText="1"/>
    </xf>
    <xf numFmtId="2" fontId="20" fillId="0" borderId="1" xfId="0" applyNumberFormat="1" applyFont="1" applyBorder="1" applyAlignment="1">
      <alignment horizontal="center" vertical="center" wrapText="1"/>
    </xf>
    <xf numFmtId="0" fontId="20" fillId="0" borderId="1" xfId="0" applyFont="1" applyBorder="1" applyAlignment="1">
      <alignment horizontal="center" vertical="center" wrapText="1"/>
    </xf>
    <xf numFmtId="164" fontId="18" fillId="0" borderId="1" xfId="0" applyNumberFormat="1" applyFont="1" applyBorder="1" applyAlignment="1" applyProtection="1">
      <alignment horizontal="center" vertical="center"/>
      <protection locked="0"/>
    </xf>
    <xf numFmtId="0" fontId="21" fillId="0" borderId="1" xfId="0" applyFont="1" applyBorder="1" applyAlignment="1">
      <alignment horizontal="justify" vertical="center" wrapText="1"/>
    </xf>
    <xf numFmtId="2" fontId="20" fillId="0" borderId="1" xfId="0" applyNumberFormat="1" applyFont="1" applyBorder="1" applyAlignment="1">
      <alignment horizontal="center"/>
    </xf>
    <xf numFmtId="164" fontId="18" fillId="0" borderId="1" xfId="0" applyNumberFormat="1" applyFont="1" applyBorder="1" applyAlignment="1">
      <alignment horizontal="center"/>
    </xf>
    <xf numFmtId="0" fontId="20" fillId="0" borderId="1" xfId="0" applyFont="1" applyBorder="1" applyAlignment="1">
      <alignment horizontal="justify" vertical="center"/>
    </xf>
    <xf numFmtId="2" fontId="20" fillId="0" borderId="1" xfId="0" applyNumberFormat="1" applyFont="1" applyBorder="1" applyAlignment="1">
      <alignment horizontal="justify" vertical="center"/>
    </xf>
    <xf numFmtId="0" fontId="17" fillId="0" borderId="1" xfId="0" applyFont="1" applyBorder="1"/>
    <xf numFmtId="0" fontId="17" fillId="0" borderId="1" xfId="0" applyFont="1" applyBorder="1" applyAlignment="1">
      <alignment horizontal="justify"/>
    </xf>
    <xf numFmtId="0" fontId="17" fillId="0" borderId="0" xfId="0" applyFont="1" applyAlignment="1">
      <alignment horizontal="center" vertical="center"/>
    </xf>
    <xf numFmtId="0" fontId="20" fillId="0" borderId="0" xfId="0" applyFont="1" applyAlignment="1">
      <alignment horizontal="justify"/>
    </xf>
    <xf numFmtId="0" fontId="20" fillId="0" borderId="0" xfId="0" applyFont="1"/>
    <xf numFmtId="164" fontId="18" fillId="0" borderId="0" xfId="0" applyNumberFormat="1" applyFont="1"/>
    <xf numFmtId="0" fontId="22" fillId="0" borderId="0" xfId="0" applyFont="1" applyAlignment="1">
      <alignment horizontal="center" vertical="center"/>
    </xf>
    <xf numFmtId="0" fontId="23" fillId="0" borderId="0" xfId="0" applyFont="1" applyAlignment="1">
      <alignment horizontal="center" vertical="center"/>
    </xf>
    <xf numFmtId="0" fontId="24" fillId="0" borderId="0" xfId="0" applyFont="1" applyAlignment="1">
      <alignment horizontal="justify"/>
    </xf>
    <xf numFmtId="0" fontId="24" fillId="0" borderId="0" xfId="0" applyFont="1"/>
    <xf numFmtId="164" fontId="25" fillId="0" borderId="0" xfId="0" applyNumberFormat="1" applyFont="1"/>
    <xf numFmtId="0" fontId="23" fillId="0" borderId="0" xfId="0" applyFont="1" applyAlignment="1">
      <alignment horizontal="justify" vertical="center"/>
    </xf>
    <xf numFmtId="0" fontId="3" fillId="0" borderId="1" xfId="0" applyFont="1" applyBorder="1" applyAlignment="1">
      <alignment horizontal="center" vertical="center" wrapText="1"/>
    </xf>
    <xf numFmtId="0" fontId="19" fillId="0" borderId="1" xfId="0" applyFont="1" applyBorder="1" applyAlignment="1">
      <alignment horizontal="center" vertical="center"/>
    </xf>
    <xf numFmtId="164" fontId="19" fillId="0" borderId="1" xfId="0" applyNumberFormat="1" applyFont="1" applyBorder="1" applyAlignment="1">
      <alignment horizontal="center" vertical="center" wrapText="1"/>
    </xf>
    <xf numFmtId="0" fontId="22" fillId="0" borderId="1" xfId="0" applyFont="1" applyBorder="1" applyAlignment="1">
      <alignment horizontal="justify" vertical="top" wrapText="1"/>
    </xf>
    <xf numFmtId="2" fontId="19" fillId="0" borderId="1" xfId="0" applyNumberFormat="1" applyFont="1" applyBorder="1" applyAlignment="1">
      <alignment horizontal="center" vertical="center"/>
    </xf>
    <xf numFmtId="2" fontId="22" fillId="0" borderId="1" xfId="0" applyNumberFormat="1" applyFont="1" applyBorder="1" applyAlignment="1">
      <alignment horizontal="center" vertical="center"/>
    </xf>
    <xf numFmtId="0" fontId="28" fillId="0" borderId="1" xfId="0" applyFont="1" applyBorder="1" applyAlignment="1" applyProtection="1">
      <alignment horizontal="justify" vertical="top"/>
      <protection locked="0"/>
    </xf>
    <xf numFmtId="0" fontId="22" fillId="0" borderId="1" xfId="0" applyFont="1" applyBorder="1" applyAlignment="1">
      <alignment horizontal="center" vertical="center" wrapText="1"/>
    </xf>
    <xf numFmtId="0" fontId="19" fillId="0" borderId="1" xfId="0" applyFont="1" applyBorder="1" applyAlignment="1">
      <alignment horizontal="justify" vertical="center" wrapText="1"/>
    </xf>
    <xf numFmtId="2" fontId="22" fillId="0" borderId="1" xfId="0" applyNumberFormat="1" applyFont="1" applyBorder="1" applyAlignment="1">
      <alignment horizontal="center"/>
    </xf>
    <xf numFmtId="164" fontId="22" fillId="0" borderId="1" xfId="0" applyNumberFormat="1" applyFont="1" applyBorder="1" applyAlignment="1">
      <alignment horizontal="right"/>
    </xf>
    <xf numFmtId="0" fontId="19" fillId="0" borderId="1" xfId="0" applyFont="1" applyBorder="1" applyAlignment="1">
      <alignment horizontal="center"/>
    </xf>
    <xf numFmtId="0" fontId="22" fillId="0" borderId="1" xfId="0" applyFont="1" applyBorder="1" applyAlignment="1">
      <alignment horizontal="justify" vertical="top"/>
    </xf>
    <xf numFmtId="2" fontId="22" fillId="0" borderId="1" xfId="0" applyNumberFormat="1" applyFont="1" applyBorder="1" applyAlignment="1">
      <alignment horizontal="justify" vertical="top"/>
    </xf>
    <xf numFmtId="0" fontId="19" fillId="0" borderId="1" xfId="0" applyFont="1" applyBorder="1"/>
    <xf numFmtId="0" fontId="19" fillId="0" borderId="0" xfId="0" applyFont="1"/>
    <xf numFmtId="0" fontId="22" fillId="0" borderId="0" xfId="0" applyFont="1" applyAlignment="1">
      <alignment horizontal="left" vertical="top"/>
    </xf>
    <xf numFmtId="164" fontId="22" fillId="0" borderId="0" xfId="0" applyNumberFormat="1" applyFont="1" applyAlignment="1">
      <alignment horizontal="left" vertical="top"/>
    </xf>
    <xf numFmtId="164" fontId="19" fillId="0" borderId="0" xfId="0" applyNumberFormat="1" applyFont="1" applyAlignment="1">
      <alignment horizontal="center" vertical="center"/>
    </xf>
    <xf numFmtId="0" fontId="23" fillId="0" borderId="0" xfId="0" applyFont="1"/>
    <xf numFmtId="0" fontId="24" fillId="0" borderId="0" xfId="0" applyFont="1" applyAlignment="1">
      <alignment horizontal="left" vertical="top"/>
    </xf>
    <xf numFmtId="164" fontId="24" fillId="0" borderId="0" xfId="0" applyNumberFormat="1" applyFont="1" applyAlignment="1">
      <alignment horizontal="left" vertical="top"/>
    </xf>
    <xf numFmtId="164" fontId="27" fillId="0" borderId="0" xfId="0" applyNumberFormat="1" applyFont="1" applyAlignment="1">
      <alignment horizontal="center" vertical="center"/>
    </xf>
    <xf numFmtId="0" fontId="22" fillId="0" borderId="0" xfId="0" applyFont="1"/>
    <xf numFmtId="164" fontId="22" fillId="0" borderId="0" xfId="0" applyNumberFormat="1" applyFont="1"/>
    <xf numFmtId="0" fontId="27" fillId="0" borderId="0" xfId="0" applyFont="1" applyAlignment="1">
      <alignment horizontal="left" vertical="center"/>
    </xf>
    <xf numFmtId="0" fontId="27" fillId="0" borderId="0" xfId="0" applyFont="1" applyAlignment="1">
      <alignment horizontal="center"/>
    </xf>
    <xf numFmtId="164" fontId="0" fillId="0" borderId="0" xfId="0" applyNumberFormat="1"/>
    <xf numFmtId="0" fontId="5" fillId="0" borderId="1" xfId="0" applyFont="1" applyBorder="1" applyAlignment="1">
      <alignment horizontal="center" vertical="center" wrapText="1"/>
    </xf>
    <xf numFmtId="2" fontId="20" fillId="0" borderId="1" xfId="0" applyNumberFormat="1" applyFont="1" applyBorder="1" applyAlignment="1">
      <alignment horizontal="center" vertical="top"/>
    </xf>
    <xf numFmtId="0" fontId="20" fillId="0" borderId="1" xfId="0" applyFont="1" applyBorder="1" applyAlignment="1">
      <alignment horizontal="justify" wrapText="1"/>
    </xf>
    <xf numFmtId="0" fontId="14" fillId="0" borderId="0" xfId="0" applyFont="1" applyAlignment="1">
      <alignment horizontal="justify" vertical="top" wrapText="1"/>
    </xf>
    <xf numFmtId="2" fontId="18" fillId="0" borderId="1" xfId="0" applyNumberFormat="1" applyFont="1" applyBorder="1" applyAlignment="1">
      <alignment horizontal="center" vertical="center"/>
    </xf>
    <xf numFmtId="0" fontId="18" fillId="0" borderId="1" xfId="0" applyFont="1" applyBorder="1" applyAlignment="1">
      <alignment horizontal="center" vertical="center" wrapText="1"/>
    </xf>
    <xf numFmtId="0" fontId="14" fillId="0" borderId="1" xfId="0" applyFont="1" applyBorder="1" applyAlignment="1">
      <alignment horizontal="justify" vertical="top" wrapText="1"/>
    </xf>
    <xf numFmtId="0" fontId="31" fillId="0" borderId="0" xfId="0" applyFont="1" applyAlignment="1">
      <alignment horizontal="center" vertical="center"/>
    </xf>
    <xf numFmtId="0" fontId="33" fillId="0" borderId="1" xfId="0" applyFont="1" applyBorder="1" applyAlignment="1">
      <alignment horizontal="center" vertical="center" wrapText="1"/>
    </xf>
    <xf numFmtId="1" fontId="31" fillId="0" borderId="1" xfId="0" applyNumberFormat="1" applyFont="1" applyBorder="1" applyAlignment="1">
      <alignment horizontal="center" vertical="center" wrapText="1"/>
    </xf>
    <xf numFmtId="2" fontId="31" fillId="0" borderId="1" xfId="0" applyNumberFormat="1" applyFont="1" applyBorder="1" applyAlignment="1">
      <alignment horizontal="center" vertical="center" wrapText="1"/>
    </xf>
    <xf numFmtId="1" fontId="31" fillId="0" borderId="1" xfId="0" applyNumberFormat="1" applyFont="1" applyBorder="1" applyAlignment="1">
      <alignment horizontal="center" vertical="center"/>
    </xf>
    <xf numFmtId="0" fontId="31" fillId="0" borderId="1" xfId="0" applyFont="1" applyBorder="1" applyAlignment="1">
      <alignment horizontal="center" vertical="center" wrapText="1"/>
    </xf>
    <xf numFmtId="0" fontId="31" fillId="0" borderId="1" xfId="0" applyFont="1" applyBorder="1" applyAlignment="1">
      <alignment horizontal="center" vertical="center"/>
    </xf>
    <xf numFmtId="1" fontId="31" fillId="0" borderId="0" xfId="0" applyNumberFormat="1" applyFont="1" applyAlignment="1">
      <alignment horizontal="center" vertical="center"/>
    </xf>
    <xf numFmtId="0" fontId="31" fillId="0" borderId="0" xfId="0" applyFont="1" applyAlignment="1">
      <alignment horizontal="center" vertical="center" wrapText="1"/>
    </xf>
    <xf numFmtId="1" fontId="31" fillId="0" borderId="0" xfId="0" applyNumberFormat="1" applyFont="1" applyAlignment="1">
      <alignment horizontal="center" vertical="center" wrapText="1"/>
    </xf>
    <xf numFmtId="2" fontId="31" fillId="0" borderId="0" xfId="0" applyNumberFormat="1" applyFont="1" applyAlignment="1">
      <alignment horizontal="center" vertical="center"/>
    </xf>
    <xf numFmtId="0" fontId="34" fillId="0" borderId="2" xfId="0" applyFont="1" applyBorder="1"/>
    <xf numFmtId="0" fontId="34" fillId="0" borderId="1" xfId="0" applyFont="1" applyBorder="1" applyAlignment="1">
      <alignment horizontal="center" vertical="center" wrapText="1"/>
    </xf>
    <xf numFmtId="0" fontId="36" fillId="0" borderId="1" xfId="0" applyFont="1" applyBorder="1" applyAlignment="1">
      <alignment horizontal="center" vertical="center" wrapText="1"/>
    </xf>
    <xf numFmtId="2" fontId="36" fillId="0" borderId="1" xfId="0" applyNumberFormat="1" applyFont="1" applyBorder="1" applyAlignment="1">
      <alignment horizontal="center" vertical="center"/>
    </xf>
    <xf numFmtId="0" fontId="36" fillId="0" borderId="1" xfId="0" applyFont="1" applyBorder="1" applyAlignment="1">
      <alignment vertical="top" wrapText="1"/>
    </xf>
    <xf numFmtId="0" fontId="36" fillId="0" borderId="1" xfId="0" applyFont="1" applyBorder="1" applyAlignment="1">
      <alignment horizontal="center" vertical="center"/>
    </xf>
    <xf numFmtId="0" fontId="17" fillId="0" borderId="1" xfId="0" applyFont="1" applyBorder="1" applyAlignment="1">
      <alignment horizontal="justify" vertical="top" wrapText="1"/>
    </xf>
    <xf numFmtId="0" fontId="3" fillId="0" borderId="1" xfId="0" applyFont="1" applyBorder="1" applyAlignment="1">
      <alignment horizontal="left" vertical="top" wrapText="1"/>
    </xf>
    <xf numFmtId="2" fontId="3" fillId="0" borderId="1" xfId="0" applyNumberFormat="1" applyFont="1" applyBorder="1" applyAlignment="1">
      <alignment horizontal="center" vertical="center" wrapText="1"/>
    </xf>
    <xf numFmtId="0" fontId="37" fillId="0" borderId="1" xfId="0" applyNumberFormat="1" applyFont="1" applyBorder="1" applyAlignment="1">
      <alignment horizontal="left" vertical="top" wrapText="1"/>
    </xf>
    <xf numFmtId="165" fontId="3" fillId="0" borderId="1" xfId="0" applyNumberFormat="1" applyFont="1" applyBorder="1" applyAlignment="1">
      <alignment horizontal="center" vertical="center" wrapText="1"/>
    </xf>
    <xf numFmtId="0" fontId="36" fillId="0" borderId="1" xfId="0" applyFont="1" applyBorder="1" applyAlignment="1">
      <alignment horizontal="center" vertical="top" wrapText="1"/>
    </xf>
    <xf numFmtId="0" fontId="3" fillId="0" borderId="6" xfId="0" applyFont="1" applyBorder="1" applyAlignment="1">
      <alignment vertical="top" wrapText="1"/>
    </xf>
    <xf numFmtId="0" fontId="31" fillId="0" borderId="0" xfId="0" applyFont="1" applyAlignment="1">
      <alignment vertical="center"/>
    </xf>
    <xf numFmtId="2" fontId="34" fillId="0" borderId="1" xfId="0" applyNumberFormat="1" applyFont="1" applyBorder="1" applyAlignment="1">
      <alignment horizontal="center" vertical="center" wrapText="1"/>
    </xf>
    <xf numFmtId="166" fontId="3" fillId="0" borderId="1" xfId="0" applyNumberFormat="1" applyFont="1" applyBorder="1" applyAlignment="1">
      <alignment horizontal="center" vertical="center" wrapText="1"/>
    </xf>
    <xf numFmtId="0" fontId="36" fillId="0" borderId="7" xfId="0" applyFont="1" applyBorder="1" applyAlignment="1">
      <alignment horizontal="center" vertical="top" wrapText="1"/>
    </xf>
    <xf numFmtId="0" fontId="3" fillId="0" borderId="7" xfId="0" applyFont="1" applyBorder="1" applyAlignment="1">
      <alignment horizontal="left" vertical="top" wrapText="1"/>
    </xf>
    <xf numFmtId="0" fontId="3" fillId="0" borderId="1" xfId="0" applyFont="1" applyBorder="1" applyAlignment="1">
      <alignment vertical="top" wrapText="1"/>
    </xf>
    <xf numFmtId="2"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3" fillId="0" borderId="1" xfId="0" applyFont="1" applyBorder="1" applyAlignment="1">
      <alignment horizontal="center" vertical="top" wrapText="1"/>
    </xf>
    <xf numFmtId="0" fontId="3" fillId="0" borderId="1" xfId="0" applyFont="1" applyBorder="1" applyAlignment="1">
      <alignment horizontal="center" vertical="top" wrapText="1"/>
    </xf>
    <xf numFmtId="0" fontId="36" fillId="0" borderId="1" xfId="0" applyFont="1" applyFill="1" applyBorder="1" applyAlignment="1">
      <alignment horizontal="center" vertical="top" wrapText="1"/>
    </xf>
    <xf numFmtId="0" fontId="38" fillId="0" borderId="1" xfId="0" applyFont="1" applyBorder="1" applyAlignment="1">
      <alignment horizontal="center"/>
    </xf>
    <xf numFmtId="0" fontId="31" fillId="0" borderId="1" xfId="0" applyFont="1" applyBorder="1" applyAlignment="1">
      <alignment horizontal="center"/>
    </xf>
    <xf numFmtId="2" fontId="31" fillId="0" borderId="1" xfId="0" applyNumberFormat="1" applyFont="1" applyBorder="1" applyAlignment="1">
      <alignment horizontal="center"/>
    </xf>
    <xf numFmtId="165" fontId="3" fillId="0" borderId="1" xfId="0" applyNumberFormat="1" applyFont="1" applyBorder="1" applyAlignment="1">
      <alignment horizontal="center" vertical="top" wrapText="1"/>
    </xf>
    <xf numFmtId="2" fontId="3" fillId="0" borderId="1" xfId="0" applyNumberFormat="1" applyFont="1" applyBorder="1" applyAlignment="1">
      <alignment horizontal="center" vertical="top" wrapText="1"/>
    </xf>
    <xf numFmtId="0" fontId="3" fillId="0" borderId="1" xfId="0" applyFont="1" applyBorder="1" applyAlignment="1">
      <alignment horizontal="center" wrapText="1"/>
    </xf>
    <xf numFmtId="2" fontId="3" fillId="0" borderId="1" xfId="0" applyNumberFormat="1" applyFont="1" applyBorder="1" applyAlignment="1">
      <alignment horizontal="center" wrapText="1"/>
    </xf>
    <xf numFmtId="2" fontId="34" fillId="0" borderId="1" xfId="0" applyNumberFormat="1" applyFont="1" applyBorder="1" applyAlignment="1"/>
    <xf numFmtId="0" fontId="31" fillId="0" borderId="1" xfId="0" applyFont="1" applyBorder="1" applyAlignment="1">
      <alignment vertical="center"/>
    </xf>
    <xf numFmtId="0" fontId="31" fillId="0" borderId="1" xfId="0" applyFont="1" applyBorder="1" applyAlignment="1">
      <alignment wrapText="1"/>
    </xf>
    <xf numFmtId="0" fontId="31" fillId="0" borderId="1" xfId="0" applyFont="1" applyBorder="1" applyAlignment="1">
      <alignment horizontal="center" wrapText="1"/>
    </xf>
    <xf numFmtId="0" fontId="31" fillId="0" borderId="1" xfId="0" applyFont="1" applyBorder="1" applyAlignment="1">
      <alignment vertical="top" wrapText="1"/>
    </xf>
    <xf numFmtId="2" fontId="31" fillId="0" borderId="1" xfId="0" applyNumberFormat="1" applyFont="1" applyBorder="1" applyAlignment="1">
      <alignment horizontal="center" vertical="center"/>
    </xf>
    <xf numFmtId="0" fontId="31" fillId="0" borderId="1" xfId="0" applyFont="1" applyBorder="1"/>
    <xf numFmtId="0" fontId="42" fillId="0" borderId="1" xfId="0" applyFont="1" applyBorder="1" applyAlignment="1">
      <alignment horizontal="left" vertical="top" wrapText="1"/>
    </xf>
    <xf numFmtId="166" fontId="31" fillId="0" borderId="1" xfId="0" applyNumberFormat="1" applyFont="1" applyBorder="1" applyAlignment="1">
      <alignment horizontal="center" vertical="center"/>
    </xf>
    <xf numFmtId="0" fontId="43" fillId="0" borderId="1" xfId="0" applyFont="1" applyBorder="1" applyAlignment="1">
      <alignment horizontal="center" vertical="center" wrapText="1"/>
    </xf>
    <xf numFmtId="2" fontId="31" fillId="0" borderId="1" xfId="0" applyNumberFormat="1" applyFont="1" applyBorder="1" applyAlignment="1">
      <alignment horizontal="right"/>
    </xf>
    <xf numFmtId="2" fontId="31" fillId="0" borderId="1" xfId="0" applyNumberFormat="1" applyFont="1" applyBorder="1" applyAlignment="1">
      <alignment horizontal="right" vertical="center"/>
    </xf>
    <xf numFmtId="0" fontId="31" fillId="0" borderId="3" xfId="0" applyFont="1" applyBorder="1" applyAlignment="1">
      <alignment horizontal="right"/>
    </xf>
    <xf numFmtId="0" fontId="31" fillId="0" borderId="4" xfId="0" applyFont="1" applyBorder="1" applyAlignment="1">
      <alignment horizontal="right"/>
    </xf>
    <xf numFmtId="0" fontId="44" fillId="0" borderId="0" xfId="0" applyFont="1" applyAlignment="1">
      <alignment horizontal="center" vertical="center"/>
    </xf>
    <xf numFmtId="0" fontId="44" fillId="0" borderId="0" xfId="0" applyFont="1"/>
    <xf numFmtId="0" fontId="48" fillId="0" borderId="1" xfId="0" applyFont="1" applyBorder="1" applyAlignment="1">
      <alignment horizontal="center" vertical="center" wrapText="1"/>
    </xf>
    <xf numFmtId="0" fontId="48" fillId="0" borderId="1" xfId="0" applyFont="1" applyBorder="1" applyAlignment="1">
      <alignment horizontal="center" vertical="center"/>
    </xf>
    <xf numFmtId="0" fontId="22" fillId="0" borderId="1" xfId="0" applyFont="1" applyBorder="1" applyAlignment="1">
      <alignment horizontal="justify" vertical="center" wrapText="1"/>
    </xf>
    <xf numFmtId="164" fontId="23" fillId="0" borderId="1" xfId="0" applyNumberFormat="1" applyFont="1" applyBorder="1" applyAlignment="1">
      <alignment horizontal="center" vertical="center" wrapText="1"/>
    </xf>
    <xf numFmtId="0" fontId="44" fillId="0" borderId="1" xfId="0" applyFont="1" applyBorder="1" applyAlignment="1">
      <alignment horizontal="justify" vertical="top" wrapText="1"/>
    </xf>
    <xf numFmtId="2" fontId="48" fillId="0" borderId="1" xfId="0" applyNumberFormat="1" applyFont="1" applyBorder="1" applyAlignment="1">
      <alignment horizontal="center" vertical="center"/>
    </xf>
    <xf numFmtId="2" fontId="44" fillId="0" borderId="1" xfId="0" applyNumberFormat="1" applyFont="1" applyBorder="1" applyAlignment="1">
      <alignment horizontal="center" vertical="center"/>
    </xf>
    <xf numFmtId="0" fontId="49" fillId="0" borderId="1" xfId="0" applyFont="1" applyBorder="1" applyAlignment="1" applyProtection="1">
      <alignment horizontal="justify" vertical="top"/>
      <protection locked="0"/>
    </xf>
    <xf numFmtId="0" fontId="44" fillId="0" borderId="1" xfId="0" applyFont="1" applyBorder="1" applyAlignment="1">
      <alignment horizontal="center" vertical="center" wrapText="1"/>
    </xf>
    <xf numFmtId="2" fontId="48" fillId="0" borderId="1" xfId="0" applyNumberFormat="1" applyFont="1" applyBorder="1" applyAlignment="1">
      <alignment horizontal="center" vertical="center" wrapText="1"/>
    </xf>
    <xf numFmtId="0" fontId="48" fillId="0" borderId="1" xfId="0" applyFont="1" applyBorder="1" applyAlignment="1">
      <alignment horizontal="justify" vertical="center" wrapText="1"/>
    </xf>
    <xf numFmtId="2" fontId="44" fillId="0" borderId="1" xfId="0" applyNumberFormat="1" applyFont="1" applyBorder="1" applyAlignment="1">
      <alignment horizontal="center"/>
    </xf>
    <xf numFmtId="2" fontId="44" fillId="0" borderId="1" xfId="0" applyNumberFormat="1" applyFont="1" applyBorder="1" applyAlignment="1">
      <alignment horizontal="right"/>
    </xf>
    <xf numFmtId="0" fontId="48" fillId="0" borderId="1" xfId="0" applyFont="1" applyBorder="1" applyAlignment="1">
      <alignment horizontal="center"/>
    </xf>
    <xf numFmtId="0" fontId="44" fillId="0" borderId="1" xfId="0" applyFont="1" applyBorder="1" applyAlignment="1">
      <alignment horizontal="justify" vertical="top"/>
    </xf>
    <xf numFmtId="2" fontId="19" fillId="0" borderId="1" xfId="0" applyNumberFormat="1" applyFont="1" applyBorder="1" applyAlignment="1">
      <alignment horizontal="center" vertical="center" wrapText="1"/>
    </xf>
    <xf numFmtId="2" fontId="44" fillId="0" borderId="1" xfId="0" applyNumberFormat="1" applyFont="1" applyBorder="1" applyAlignment="1">
      <alignment horizontal="justify" vertical="top"/>
    </xf>
    <xf numFmtId="0" fontId="48" fillId="0" borderId="1" xfId="0" applyFont="1" applyBorder="1"/>
    <xf numFmtId="164" fontId="48" fillId="0" borderId="1" xfId="0" applyNumberFormat="1" applyFont="1" applyBorder="1" applyAlignment="1">
      <alignment horizontal="center" vertical="center"/>
    </xf>
    <xf numFmtId="164" fontId="32" fillId="0" borderId="1" xfId="0" applyNumberFormat="1" applyFont="1" applyBorder="1" applyAlignment="1">
      <alignment horizontal="center" vertical="center"/>
    </xf>
    <xf numFmtId="0" fontId="48" fillId="0" borderId="0" xfId="0" applyFont="1" applyBorder="1"/>
    <xf numFmtId="0" fontId="44" fillId="0" borderId="0" xfId="0" applyFont="1" applyBorder="1" applyAlignment="1">
      <alignment horizontal="left" vertical="top"/>
    </xf>
    <xf numFmtId="164" fontId="32" fillId="0" borderId="0" xfId="0" applyNumberFormat="1" applyFont="1" applyBorder="1" applyAlignment="1">
      <alignment horizontal="center" vertical="center"/>
    </xf>
    <xf numFmtId="0" fontId="0" fillId="0" borderId="0" xfId="0" applyAlignment="1">
      <alignment horizontal="center" vertical="center"/>
    </xf>
    <xf numFmtId="0" fontId="32" fillId="0" borderId="0" xfId="0" applyFont="1" applyAlignment="1">
      <alignment horizontal="left" vertical="center"/>
    </xf>
    <xf numFmtId="0" fontId="32" fillId="0" borderId="0" xfId="0" applyFont="1" applyAlignment="1">
      <alignment horizontal="center"/>
    </xf>
    <xf numFmtId="0" fontId="32" fillId="0" borderId="0" xfId="0" applyFont="1" applyAlignment="1">
      <alignment horizontal="center" vertical="center"/>
    </xf>
    <xf numFmtId="2" fontId="22" fillId="0" borderId="1" xfId="0" applyNumberFormat="1" applyFont="1" applyBorder="1" applyAlignment="1">
      <alignment horizontal="center" vertical="center" wrapText="1"/>
    </xf>
    <xf numFmtId="164" fontId="50" fillId="0" borderId="1" xfId="0" applyNumberFormat="1" applyFont="1" applyBorder="1" applyAlignment="1">
      <alignment horizontal="center" vertical="center" wrapText="1"/>
    </xf>
    <xf numFmtId="164" fontId="50" fillId="0" borderId="1" xfId="0" applyNumberFormat="1" applyFont="1" applyBorder="1" applyAlignment="1" applyProtection="1">
      <alignment horizontal="center" vertical="center"/>
      <protection locked="0"/>
    </xf>
    <xf numFmtId="164" fontId="23" fillId="0" borderId="1" xfId="0" applyNumberFormat="1" applyFont="1" applyBorder="1" applyAlignment="1">
      <alignment horizontal="center" vertical="center"/>
    </xf>
    <xf numFmtId="0" fontId="19" fillId="0" borderId="1" xfId="0" applyFont="1" applyBorder="1" applyAlignment="1">
      <alignment horizontal="justify" vertical="top" wrapText="1"/>
    </xf>
    <xf numFmtId="2" fontId="22" fillId="0" borderId="1" xfId="0" applyNumberFormat="1" applyFont="1" applyBorder="1" applyAlignment="1">
      <alignment horizontal="right"/>
    </xf>
    <xf numFmtId="0" fontId="19" fillId="0" borderId="1" xfId="0" applyFont="1" applyBorder="1" applyAlignment="1">
      <alignment horizontal="justify" vertical="top"/>
    </xf>
    <xf numFmtId="0" fontId="31" fillId="0" borderId="0" xfId="0" applyFont="1"/>
    <xf numFmtId="0" fontId="23" fillId="0" borderId="1" xfId="0" applyFont="1" applyBorder="1" applyAlignment="1">
      <alignment horizontal="center" vertical="center" wrapText="1"/>
    </xf>
    <xf numFmtId="0" fontId="23" fillId="0" borderId="1" xfId="0" applyFont="1" applyBorder="1" applyAlignment="1">
      <alignment horizontal="center" vertical="center"/>
    </xf>
    <xf numFmtId="0" fontId="24" fillId="0" borderId="1" xfId="0" applyFont="1" applyBorder="1" applyAlignment="1">
      <alignment horizontal="justify" vertical="top" wrapText="1"/>
    </xf>
    <xf numFmtId="2" fontId="23" fillId="0" borderId="1" xfId="0" applyNumberFormat="1" applyFont="1" applyBorder="1" applyAlignment="1">
      <alignment horizontal="center" vertical="center"/>
    </xf>
    <xf numFmtId="2" fontId="24" fillId="0" borderId="1" xfId="0" applyNumberFormat="1" applyFont="1" applyBorder="1" applyAlignment="1">
      <alignment horizontal="center" vertical="center"/>
    </xf>
    <xf numFmtId="0" fontId="55" fillId="0" borderId="1" xfId="0" applyFont="1" applyBorder="1" applyAlignment="1" applyProtection="1">
      <alignment horizontal="justify" vertical="top"/>
      <protection locked="0"/>
    </xf>
    <xf numFmtId="0" fontId="24" fillId="0" borderId="1" xfId="0" applyFont="1" applyBorder="1" applyAlignment="1">
      <alignment horizontal="center" vertical="center" wrapText="1"/>
    </xf>
    <xf numFmtId="0" fontId="23" fillId="0" borderId="1" xfId="0" applyFont="1" applyBorder="1" applyAlignment="1">
      <alignment horizontal="justify" vertical="center" wrapText="1"/>
    </xf>
    <xf numFmtId="2" fontId="24" fillId="0" borderId="1" xfId="0" applyNumberFormat="1" applyFont="1" applyBorder="1" applyAlignment="1">
      <alignment horizontal="center"/>
    </xf>
    <xf numFmtId="2" fontId="24" fillId="0" borderId="1" xfId="0" applyNumberFormat="1" applyFont="1" applyBorder="1" applyAlignment="1">
      <alignment horizontal="right"/>
    </xf>
    <xf numFmtId="0" fontId="23" fillId="0" borderId="1" xfId="0" applyFont="1" applyBorder="1" applyAlignment="1">
      <alignment horizontal="center"/>
    </xf>
    <xf numFmtId="0" fontId="24" fillId="0" borderId="1" xfId="0" applyFont="1" applyBorder="1" applyAlignment="1">
      <alignment horizontal="justify" vertical="top"/>
    </xf>
    <xf numFmtId="2" fontId="24" fillId="0" borderId="1" xfId="0" applyNumberFormat="1" applyFont="1" applyBorder="1" applyAlignment="1">
      <alignment horizontal="justify" vertical="top"/>
    </xf>
    <xf numFmtId="0" fontId="23" fillId="0" borderId="1" xfId="0" applyFont="1" applyBorder="1"/>
    <xf numFmtId="0" fontId="48" fillId="0" borderId="0" xfId="0" applyFont="1"/>
    <xf numFmtId="0" fontId="44" fillId="0" borderId="0" xfId="0" applyFont="1" applyAlignment="1">
      <alignment horizontal="left" vertical="top"/>
    </xf>
    <xf numFmtId="164" fontId="32" fillId="0" borderId="0" xfId="0" applyNumberFormat="1" applyFont="1" applyAlignment="1">
      <alignment horizontal="center" vertical="center"/>
    </xf>
    <xf numFmtId="2" fontId="23" fillId="0" borderId="1" xfId="0" applyNumberFormat="1" applyFont="1" applyBorder="1" applyAlignment="1">
      <alignment horizontal="center" vertical="center" wrapText="1"/>
    </xf>
    <xf numFmtId="0" fontId="48" fillId="0" borderId="0" xfId="0" applyFont="1" applyAlignment="1">
      <alignment horizontal="left" vertical="top"/>
    </xf>
    <xf numFmtId="2" fontId="5" fillId="0" borderId="1" xfId="0" applyNumberFormat="1" applyFont="1" applyBorder="1" applyAlignment="1">
      <alignment horizontal="center" vertical="center"/>
    </xf>
    <xf numFmtId="2" fontId="6" fillId="0" borderId="1" xfId="0" applyNumberFormat="1" applyFont="1" applyBorder="1" applyAlignment="1">
      <alignment horizontal="right"/>
    </xf>
    <xf numFmtId="2" fontId="5"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1" xfId="0" applyFont="1" applyBorder="1" applyAlignment="1">
      <alignment horizontal="center" vertical="center" wrapText="1"/>
    </xf>
    <xf numFmtId="0" fontId="32" fillId="0" borderId="1" xfId="0" applyFont="1" applyBorder="1" applyAlignment="1">
      <alignment horizontal="center" vertical="center"/>
    </xf>
    <xf numFmtId="0" fontId="32" fillId="0" borderId="1" xfId="0" applyFont="1" applyBorder="1" applyAlignment="1">
      <alignment horizontal="center" vertical="center" wrapText="1"/>
    </xf>
    <xf numFmtId="0" fontId="36" fillId="0" borderId="2" xfId="0" applyFont="1" applyBorder="1" applyAlignment="1">
      <alignment horizontal="right"/>
    </xf>
    <xf numFmtId="0" fontId="36" fillId="0" borderId="3" xfId="0" applyFont="1" applyBorder="1" applyAlignment="1">
      <alignment horizontal="right"/>
    </xf>
    <xf numFmtId="0" fontId="36" fillId="0" borderId="4" xfId="0" applyFont="1" applyBorder="1" applyAlignment="1">
      <alignment horizontal="right"/>
    </xf>
    <xf numFmtId="0" fontId="35" fillId="0" borderId="3" xfId="0" applyFont="1" applyBorder="1" applyAlignment="1">
      <alignment horizontal="center" vertical="center"/>
    </xf>
    <xf numFmtId="0" fontId="35" fillId="0" borderId="4" xfId="0" applyFont="1" applyBorder="1" applyAlignment="1">
      <alignment horizontal="center" vertical="center"/>
    </xf>
    <xf numFmtId="0" fontId="35" fillId="3" borderId="3" xfId="0" applyFont="1" applyFill="1" applyBorder="1" applyAlignment="1">
      <alignment horizontal="center" vertical="center"/>
    </xf>
    <xf numFmtId="0" fontId="35" fillId="3" borderId="4" xfId="0" applyFont="1" applyFill="1" applyBorder="1" applyAlignment="1">
      <alignment horizontal="center" vertical="center"/>
    </xf>
    <xf numFmtId="0" fontId="33" fillId="0" borderId="3" xfId="0" applyFont="1" applyBorder="1" applyAlignment="1">
      <alignment vertical="top" wrapText="1"/>
    </xf>
    <xf numFmtId="0" fontId="33" fillId="0" borderId="4" xfId="0" applyFont="1" applyBorder="1" applyAlignment="1">
      <alignment vertical="top" wrapText="1"/>
    </xf>
    <xf numFmtId="0" fontId="3" fillId="0" borderId="2" xfId="0" applyFont="1" applyBorder="1" applyAlignment="1">
      <alignment horizontal="right" wrapText="1"/>
    </xf>
    <xf numFmtId="0" fontId="3" fillId="0" borderId="3" xfId="0" applyFont="1" applyBorder="1" applyAlignment="1">
      <alignment horizontal="right" wrapText="1"/>
    </xf>
    <xf numFmtId="0" fontId="3" fillId="0" borderId="4" xfId="0" applyFont="1" applyBorder="1" applyAlignment="1">
      <alignment horizontal="right" wrapText="1"/>
    </xf>
    <xf numFmtId="0" fontId="17" fillId="0" borderId="2" xfId="0" applyFont="1" applyBorder="1" applyAlignment="1">
      <alignment horizontal="right" vertical="center"/>
    </xf>
    <xf numFmtId="0" fontId="17" fillId="0" borderId="3" xfId="0" applyFont="1" applyBorder="1" applyAlignment="1">
      <alignment horizontal="right" vertical="center"/>
    </xf>
    <xf numFmtId="0" fontId="17" fillId="0" borderId="4" xfId="0" applyFont="1" applyBorder="1" applyAlignment="1">
      <alignment horizontal="right" vertical="center"/>
    </xf>
    <xf numFmtId="0" fontId="17" fillId="0" borderId="2" xfId="0" applyFont="1" applyBorder="1" applyAlignment="1">
      <alignment horizontal="right"/>
    </xf>
    <xf numFmtId="0" fontId="17" fillId="0" borderId="3" xfId="0" applyFont="1" applyBorder="1" applyAlignment="1">
      <alignment horizontal="right"/>
    </xf>
    <xf numFmtId="0" fontId="17" fillId="0" borderId="4" xfId="0" applyFont="1" applyBorder="1" applyAlignment="1">
      <alignment horizontal="right"/>
    </xf>
    <xf numFmtId="0" fontId="15" fillId="0" borderId="5" xfId="0" applyFont="1" applyBorder="1" applyAlignment="1">
      <alignment horizontal="center" vertical="top" wrapText="1"/>
    </xf>
    <xf numFmtId="0" fontId="16" fillId="0" borderId="5" xfId="0" applyFont="1" applyBorder="1" applyAlignment="1">
      <alignment horizontal="center" vertical="top" wrapText="1"/>
    </xf>
    <xf numFmtId="0" fontId="56" fillId="0" borderId="3" xfId="0" applyFont="1" applyBorder="1" applyAlignment="1">
      <alignment horizontal="left" vertical="center" wrapText="1"/>
    </xf>
    <xf numFmtId="0" fontId="17" fillId="0" borderId="2" xfId="0" applyFont="1" applyBorder="1" applyAlignment="1">
      <alignment horizontal="right" wrapText="1"/>
    </xf>
    <xf numFmtId="0" fontId="17" fillId="0" borderId="3" xfId="0" applyFont="1" applyBorder="1" applyAlignment="1">
      <alignment horizontal="right" wrapText="1"/>
    </xf>
    <xf numFmtId="0" fontId="17" fillId="0" borderId="4" xfId="0" applyFont="1" applyBorder="1" applyAlignment="1">
      <alignment horizontal="right" wrapText="1"/>
    </xf>
    <xf numFmtId="0" fontId="22" fillId="0" borderId="3" xfId="0" applyFont="1" applyBorder="1" applyAlignment="1">
      <alignment horizontal="left" vertical="top"/>
    </xf>
    <xf numFmtId="0" fontId="22" fillId="0" borderId="4" xfId="0" applyFont="1" applyBorder="1" applyAlignment="1">
      <alignment horizontal="left" vertical="top"/>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0" fontId="22" fillId="0" borderId="2" xfId="0" applyFont="1" applyBorder="1" applyAlignment="1">
      <alignment horizontal="left" vertical="top"/>
    </xf>
    <xf numFmtId="0" fontId="29" fillId="0" borderId="5" xfId="0" applyFont="1" applyBorder="1" applyAlignment="1">
      <alignment horizontal="center" vertical="top" wrapText="1"/>
    </xf>
    <xf numFmtId="0" fontId="16" fillId="0" borderId="1" xfId="0" applyFont="1" applyBorder="1" applyAlignment="1">
      <alignment horizontal="center" vertical="top" wrapText="1"/>
    </xf>
    <xf numFmtId="0" fontId="54" fillId="0" borderId="1" xfId="0" applyFont="1" applyBorder="1" applyAlignment="1">
      <alignment horizontal="left" vertical="center" wrapText="1"/>
    </xf>
    <xf numFmtId="0" fontId="30" fillId="0" borderId="5" xfId="0" applyFont="1" applyBorder="1" applyAlignment="1">
      <alignment horizontal="center" vertical="top" wrapText="1"/>
    </xf>
    <xf numFmtId="0" fontId="19" fillId="0" borderId="3" xfId="0" applyFont="1" applyBorder="1" applyAlignment="1">
      <alignment horizontal="left" vertical="center" wrapText="1"/>
    </xf>
    <xf numFmtId="0" fontId="44" fillId="0" borderId="3" xfId="0" applyFont="1" applyBorder="1" applyAlignment="1">
      <alignment horizontal="left" vertical="top"/>
    </xf>
    <xf numFmtId="0" fontId="44" fillId="0" borderId="4" xfId="0" applyFont="1" applyBorder="1" applyAlignment="1">
      <alignment horizontal="left" vertical="top"/>
    </xf>
    <xf numFmtId="0" fontId="47" fillId="0" borderId="2" xfId="0" applyFont="1" applyBorder="1" applyAlignment="1">
      <alignment horizontal="center" vertical="center"/>
    </xf>
    <xf numFmtId="0" fontId="47" fillId="0" borderId="3" xfId="0" applyFont="1" applyBorder="1" applyAlignment="1">
      <alignment horizontal="center" vertical="center"/>
    </xf>
    <xf numFmtId="0" fontId="47" fillId="0" borderId="4" xfId="0" applyFont="1" applyBorder="1" applyAlignment="1">
      <alignment horizontal="center" vertical="center"/>
    </xf>
    <xf numFmtId="0" fontId="35" fillId="0" borderId="2" xfId="0" applyFont="1" applyBorder="1" applyAlignment="1">
      <alignment horizontal="center" vertical="center"/>
    </xf>
    <xf numFmtId="0" fontId="46" fillId="0" borderId="2" xfId="0" applyFont="1" applyBorder="1" applyAlignment="1">
      <alignment horizontal="center" vertical="center" wrapText="1"/>
    </xf>
    <xf numFmtId="0" fontId="46" fillId="0" borderId="3" xfId="0" applyFont="1" applyBorder="1" applyAlignment="1">
      <alignment horizontal="center" vertical="center" wrapText="1"/>
    </xf>
    <xf numFmtId="0" fontId="46" fillId="0" borderId="4" xfId="0" applyFont="1" applyBorder="1" applyAlignment="1">
      <alignment horizontal="center" vertical="center" wrapText="1"/>
    </xf>
    <xf numFmtId="0" fontId="44" fillId="0" borderId="2" xfId="0" applyFont="1" applyBorder="1" applyAlignment="1">
      <alignment horizontal="left" vertical="top"/>
    </xf>
    <xf numFmtId="0" fontId="19" fillId="0" borderId="1" xfId="0" applyFont="1" applyBorder="1" applyAlignment="1">
      <alignment horizontal="right" vertical="top"/>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19" fillId="0" borderId="1" xfId="0" applyFont="1" applyBorder="1" applyAlignment="1">
      <alignment horizontal="right" vertical="center"/>
    </xf>
    <xf numFmtId="0" fontId="35" fillId="0" borderId="8" xfId="0" applyFont="1" applyBorder="1" applyAlignment="1">
      <alignment horizontal="center" vertical="center"/>
    </xf>
    <xf numFmtId="0" fontId="35" fillId="0" borderId="0" xfId="0" applyFont="1" applyAlignment="1">
      <alignment horizontal="center" vertical="center"/>
    </xf>
    <xf numFmtId="0" fontId="51" fillId="0" borderId="8" xfId="0" applyFont="1" applyBorder="1" applyAlignment="1">
      <alignment horizontal="center" vertical="center"/>
    </xf>
    <xf numFmtId="0" fontId="51" fillId="0" borderId="0" xfId="0" applyFont="1" applyAlignment="1">
      <alignment horizontal="center" vertical="center"/>
    </xf>
    <xf numFmtId="0" fontId="52" fillId="0" borderId="9" xfId="0" applyFont="1" applyBorder="1" applyAlignment="1">
      <alignment horizontal="center" vertical="top" wrapText="1"/>
    </xf>
    <xf numFmtId="0" fontId="52" fillId="0" borderId="5" xfId="0" applyFont="1" applyBorder="1" applyAlignment="1">
      <alignment horizontal="center" vertical="top" wrapText="1"/>
    </xf>
    <xf numFmtId="0" fontId="46" fillId="0" borderId="1" xfId="0" applyFont="1" applyBorder="1" applyAlignment="1">
      <alignment horizontal="center" vertical="top" wrapText="1"/>
    </xf>
    <xf numFmtId="0" fontId="24" fillId="0" borderId="3" xfId="0" applyFont="1" applyBorder="1" applyAlignment="1">
      <alignment horizontal="right" vertical="top"/>
    </xf>
    <xf numFmtId="0" fontId="24" fillId="0" borderId="4" xfId="0" applyFont="1" applyBorder="1" applyAlignment="1">
      <alignment horizontal="right" vertical="top"/>
    </xf>
    <xf numFmtId="0" fontId="53" fillId="0" borderId="2" xfId="0" applyFont="1" applyBorder="1" applyAlignment="1">
      <alignment horizontal="center" vertical="center"/>
    </xf>
    <xf numFmtId="0" fontId="53" fillId="0" borderId="3" xfId="0" applyFont="1" applyBorder="1" applyAlignment="1">
      <alignment horizontal="center" vertical="center"/>
    </xf>
    <xf numFmtId="0" fontId="53" fillId="0" borderId="4"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54" fillId="0" borderId="1" xfId="0" applyFont="1" applyBorder="1" applyAlignment="1">
      <alignment horizontal="center" vertical="top" wrapText="1"/>
    </xf>
    <xf numFmtId="0" fontId="24" fillId="0" borderId="2" xfId="0" applyFont="1" applyBorder="1" applyAlignment="1">
      <alignment horizontal="right" vertical="top"/>
    </xf>
    <xf numFmtId="0" fontId="31" fillId="0" borderId="3" xfId="0" applyFont="1" applyBorder="1" applyAlignment="1">
      <alignment horizontal="right"/>
    </xf>
    <xf numFmtId="0" fontId="31" fillId="0" borderId="4" xfId="0" applyFont="1" applyBorder="1" applyAlignment="1">
      <alignment horizontal="right"/>
    </xf>
    <xf numFmtId="0" fontId="40" fillId="0" borderId="5" xfId="0" applyFont="1" applyBorder="1" applyAlignment="1">
      <alignment horizontal="center" vertical="top" wrapText="1"/>
    </xf>
    <xf numFmtId="0" fontId="41" fillId="0" borderId="5" xfId="0" applyFont="1" applyBorder="1" applyAlignment="1">
      <alignment horizontal="center" vertical="top" wrapText="1"/>
    </xf>
    <xf numFmtId="0" fontId="40" fillId="4" borderId="3" xfId="0" applyFont="1" applyFill="1" applyBorder="1" applyAlignment="1">
      <alignment horizontal="center" vertical="top" wrapText="1"/>
    </xf>
    <xf numFmtId="0" fontId="31" fillId="0" borderId="3" xfId="0" applyFont="1" applyBorder="1" applyAlignment="1">
      <alignment horizontal="left" vertical="top" wrapText="1"/>
    </xf>
    <xf numFmtId="0" fontId="56" fillId="0" borderId="2" xfId="0" applyFont="1" applyBorder="1" applyAlignment="1">
      <alignment horizontal="center" vertical="top" wrapText="1"/>
    </xf>
    <xf numFmtId="0" fontId="56" fillId="0" borderId="3" xfId="0" applyFont="1" applyBorder="1" applyAlignment="1">
      <alignment horizontal="center" vertical="top" wrapText="1"/>
    </xf>
    <xf numFmtId="0" fontId="56" fillId="0" borderId="4" xfId="0" applyFont="1" applyBorder="1" applyAlignment="1">
      <alignment horizontal="center" vertical="top" wrapText="1"/>
    </xf>
    <xf numFmtId="0" fontId="57" fillId="0" borderId="2" xfId="0" applyFont="1" applyBorder="1" applyAlignment="1">
      <alignment horizontal="left" vertical="top" wrapText="1"/>
    </xf>
    <xf numFmtId="0" fontId="57" fillId="0" borderId="3" xfId="0" applyFont="1" applyBorder="1" applyAlignment="1">
      <alignment horizontal="left" vertical="top" wrapText="1"/>
    </xf>
    <xf numFmtId="0" fontId="57" fillId="0" borderId="4" xfId="0" applyFont="1" applyBorder="1" applyAlignment="1">
      <alignment horizontal="left" vertical="top" wrapText="1"/>
    </xf>
  </cellXfs>
  <cellStyles count="11">
    <cellStyle name="Normal" xfId="0" builtinId="0"/>
    <cellStyle name="Normal 11 2 2 2 2" xfId="2"/>
    <cellStyle name="Normal 13 2" xfId="3"/>
    <cellStyle name="Normal 16" xfId="4"/>
    <cellStyle name="Normal 2" xfId="1"/>
    <cellStyle name="Normal 2 2" xfId="5"/>
    <cellStyle name="Normal 2 4" xfId="6"/>
    <cellStyle name="Normal 21" xfId="7"/>
    <cellStyle name="Normal 4" xfId="8"/>
    <cellStyle name="Normal 5" xfId="9"/>
    <cellStyle name="Normal 8 5" xfId="1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34"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externalLink" Target="externalLinks/externalLink1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ESTIMATE%202022%20NEW%20-%20ward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New%20folder%20(2)\BOQ%20AJIT\(2)%20P.C.C%20ROAD%20NOBOR%20EKKA%20%20W.N,%203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New%20folder%20(2)\P.C.C%20ROAD%20AT%20NOBER%20EKKA%20W.N,%2036.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New%20folder%20(2)\BOQ%20AJIT\P.C.C%20NEW%20PUNDAG%20%20RAJU%20JEE%20W-36.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J:\Ajit%20BOQ\kirtimandal%20sir%20J%20E\ghat%20road%20me%20pcc.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I:\New%20folder%20(2)\BOQ%20AJIT\PCC%20EKTA%20NAGAR%20HATIA%20MANOJ%20W-5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I:\New%20folder%20(2)\BOQ%20AJIT\PCC%20OBARIA%20ROAD%20MANISH%20KR.%20W-5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ESTIMATE%202022%20NEW%20-%20ward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Downloads/ward%2021%20drain%20and%20culvert%20At%20Augad%20baba%20ashra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WARD-23\PCC%20ROAD\(3)%20IMLI%20TOLA%20ONLY%20PCC%20ROAD-2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WARD-23\PCC%20ROAD\(8)%20PCC%20TASLIM%20MASZID%20WATER%20TANK%20-2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WARD-23\PCC%20ROAD\(2)%20ARSHI%20APARTMENT%20PCC%20ROAD%20(LS)-2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WARD-23\PCC%20ROAD\(1)%20PARSHAD%20GALI%20KALIM-2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New%20folder%20(2)\p.c.c%20road%20at%20panchwati%20nagar%20w.n.%203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New%20folder%20(2)\BOQ%20AJIT\(1)%20P.C.C%20ROAD%20JYANTI%20STORE%20W.N,%203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CC ROAD"/>
      <sheetName val="PCC Material"/>
      <sheetName val="RCC DRAIN"/>
      <sheetName val="Drain Material"/>
      <sheetName val="comp"/>
      <sheetName val="comp mat"/>
      <sheetName val="Abstract"/>
      <sheetName val="Dy. Mayor"/>
      <sheetName val="Dy. Mat"/>
      <sheetName val="File"/>
      <sheetName val="w2 MUMTAZ"/>
      <sheetName val="mat2"/>
      <sheetName val="W2 JOGO"/>
      <sheetName val="MAT JOGO"/>
      <sheetName val="ADALHATU RD5"/>
      <sheetName val="RD5 MAT"/>
      <sheetName val="Big Drain"/>
      <sheetName val="big mat"/>
      <sheetName val="W5 DRAIN"/>
      <sheetName val="W5 MAT"/>
      <sheetName val="Drain5"/>
      <sheetName val="w5mat"/>
      <sheetName val="ward 5 final"/>
      <sheetName val="final mat"/>
      <sheetName val="Sheet1"/>
      <sheetName val="w9"/>
      <sheetName val="PCC Material (2)"/>
      <sheetName val="AKHRA SHED MANCH"/>
      <sheetName val="SHED MANCH MAT"/>
      <sheetName val="Sarna Colony"/>
      <sheetName val="sarna mat"/>
      <sheetName val="krishna nagar"/>
      <sheetName val="krishna mat"/>
      <sheetName val="PUCHKA"/>
      <sheetName val="PUCHKA MAT"/>
      <sheetName val="GANPATI"/>
      <sheetName val="GANPATI MAT"/>
      <sheetName val="DEVI MANDAP"/>
      <sheetName val="DEVI MAT"/>
      <sheetName val="SINDWAR"/>
      <sheetName val="SINDWAR MAT"/>
      <sheetName val="SIND KARAM"/>
      <sheetName val="KARAM MAT"/>
      <sheetName val="MLA"/>
      <sheetName val="MLA MAT"/>
      <sheetName val="REV"/>
      <sheetName val="REV MAT"/>
      <sheetName val="SUMIT"/>
      <sheetName val="SUMIT MAT"/>
      <sheetName val="ward3"/>
      <sheetName val="SUMIT Caterer BOQ"/>
      <sheetName val="MLA BOQ"/>
      <sheetName val="Pradeep"/>
      <sheetName val="Pradeep1"/>
      <sheetName val="Pradeep2"/>
      <sheetName val="Pradeep3"/>
      <sheetName val="BABU DA"/>
      <sheetName val="BABU DA MAT"/>
      <sheetName val="PUCHKA RAMAN"/>
      <sheetName val="PUMAT"/>
      <sheetName val="MUKESH MUNDA"/>
      <sheetName val="MUKESH MAT"/>
      <sheetName val="SHIVNATH"/>
      <sheetName val="SHIVNATH MAT"/>
      <sheetName val="BALESHWAR"/>
      <sheetName val="BALESHWAR MAT"/>
      <sheetName val="MAHABIR"/>
      <sheetName val="MAHABIR MAT"/>
      <sheetName val="PANDEY BIKASH"/>
      <sheetName val="PAN MA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7">
          <cell r="G7">
            <v>145.14301897479467</v>
          </cell>
        </row>
        <row r="11">
          <cell r="G11">
            <v>29.028603794958933</v>
          </cell>
        </row>
        <row r="15">
          <cell r="G15">
            <v>47.606910223732648</v>
          </cell>
        </row>
        <row r="19">
          <cell r="G19">
            <v>58.057207589917866</v>
          </cell>
        </row>
        <row r="23">
          <cell r="G23">
            <v>38.104089219330852</v>
          </cell>
        </row>
        <row r="25">
          <cell r="G25">
            <v>24.964599263664681</v>
          </cell>
        </row>
        <row r="26">
          <cell r="G26">
            <v>29.028603794958933</v>
          </cell>
        </row>
        <row r="27">
          <cell r="G27">
            <v>49.929198527329362</v>
          </cell>
        </row>
        <row r="28">
          <cell r="G28">
            <v>47.606910223732648</v>
          </cell>
        </row>
        <row r="29">
          <cell r="G29">
            <v>145.14301897479467</v>
          </cell>
        </row>
      </sheetData>
      <sheetData sheetId="44"/>
      <sheetData sheetId="45"/>
      <sheetData sheetId="46"/>
      <sheetData sheetId="47">
        <row r="8">
          <cell r="G8">
            <v>122.61682242990655</v>
          </cell>
        </row>
        <row r="13">
          <cell r="G13">
            <v>51.656754460492785</v>
          </cell>
        </row>
        <row r="18">
          <cell r="G18">
            <v>66.881903143585376</v>
          </cell>
        </row>
        <row r="22">
          <cell r="G22">
            <v>67.969413763806287</v>
          </cell>
        </row>
        <row r="26">
          <cell r="G26">
            <v>44.609665427509292</v>
          </cell>
        </row>
        <row r="28">
          <cell r="G28">
            <v>29.226847918436704</v>
          </cell>
        </row>
        <row r="29">
          <cell r="G29">
            <v>51.656754460492785</v>
          </cell>
        </row>
        <row r="30">
          <cell r="G30">
            <v>58.453695836873408</v>
          </cell>
        </row>
        <row r="31">
          <cell r="G31">
            <v>66.881903143585376</v>
          </cell>
        </row>
        <row r="32">
          <cell r="G32">
            <v>122.61682242990655</v>
          </cell>
        </row>
      </sheetData>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ESTIMATE"/>
      <sheetName val="BOQ"/>
      <sheetName val="MATERIAL "/>
    </sheetNames>
    <sheetDataSet>
      <sheetData sheetId="0">
        <row r="2">
          <cell r="A2" t="str">
            <v>Name of Work :-CONSTRUCTION OF PCC R0AD AT AT GIRZA TOLI DIBDHI P.C.C. MAIN ROD TO HOUSE OF NOBOR EKKA UNDER WARD NO-36</v>
          </cell>
        </row>
        <row r="4">
          <cell r="B4" t="str">
            <v>Labour for site clearence before and after the work etc.</v>
          </cell>
          <cell r="G4">
            <v>5</v>
          </cell>
          <cell r="I4">
            <v>326.85000000000002</v>
          </cell>
        </row>
        <row r="5">
          <cell r="B5" t="str">
            <v xml:space="preserve">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                                                                              </v>
          </cell>
        </row>
        <row r="8">
          <cell r="G8">
            <v>68.31</v>
          </cell>
          <cell r="I8">
            <v>151.82</v>
          </cell>
        </row>
        <row r="9">
          <cell r="B9" t="str">
            <v xml:space="preserve">Providing stone cruster dust finer than 3mm with not more than 10% passing 0.075 sieve at Quarry in filling in foundation trenches or in plinth including  ramming and watering in layers not exceeding 150 mm thick with all leads and lifts including cost of materials , labour , royalty and taxes all complete as per specification and  direction of E/I. (Mode of measurement compacted volume. )                               </v>
          </cell>
        </row>
        <row r="12">
          <cell r="G12">
            <v>25.49</v>
          </cell>
          <cell r="I12">
            <v>347.85</v>
          </cell>
        </row>
        <row r="13">
          <cell r="B13" t="str">
            <v>Supplying and laying (properly as per design and drawing )rip-rap with good quality of boulders duly packed including the cost of materials,royalty all taxes etc.but excluding the cost of carriage, all complete as per specification and direction of E/I.</v>
          </cell>
        </row>
        <row r="16">
          <cell r="G16">
            <v>42.82</v>
          </cell>
          <cell r="I16">
            <v>1756.4</v>
          </cell>
        </row>
        <row r="17">
          <cell r="B17" t="str">
            <v xml:space="preserve">Providing and laying in position cement concrete of specified grade excluding the cost of centering and shuttering- All work upto plinth level : 1:1½:3 (1 cemet : 1½ coarse sand (zone-iii) : 3 graded stone aggregate 20mm nominal size )  </v>
          </cell>
        </row>
        <row r="20">
          <cell r="G20">
            <v>50.98</v>
          </cell>
          <cell r="I20">
            <v>4961.7299999999996</v>
          </cell>
        </row>
        <row r="21">
          <cell r="B21" t="str">
            <v>Centering and shuttering including strutting, propping etc. and removal of from for Foundations, footings, bases of columns, etc. for mass concrete.</v>
          </cell>
        </row>
        <row r="24">
          <cell r="G24">
            <v>41.82</v>
          </cell>
          <cell r="I24">
            <v>194.5</v>
          </cell>
        </row>
        <row r="26">
          <cell r="G26">
            <v>21.92</v>
          </cell>
          <cell r="I26">
            <v>848.82</v>
          </cell>
        </row>
        <row r="27">
          <cell r="G27">
            <v>25.49</v>
          </cell>
          <cell r="I27">
            <v>447.06</v>
          </cell>
        </row>
        <row r="28">
          <cell r="G28">
            <v>43.84</v>
          </cell>
          <cell r="I28">
            <v>447.06</v>
          </cell>
        </row>
        <row r="29">
          <cell r="G29">
            <v>42.82</v>
          </cell>
          <cell r="I29">
            <v>679.66</v>
          </cell>
        </row>
        <row r="30">
          <cell r="G30">
            <v>68.31</v>
          </cell>
          <cell r="I30">
            <v>117.54</v>
          </cell>
        </row>
      </sheetData>
      <sheetData sheetId="1"/>
      <sheetData sheetId="2"/>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ESTIMATE"/>
      <sheetName val="BOQ"/>
      <sheetName val="MATERIAL "/>
    </sheetNames>
    <sheetDataSet>
      <sheetData sheetId="0" refreshError="1">
        <row r="4">
          <cell r="G4">
            <v>5</v>
          </cell>
        </row>
        <row r="5">
          <cell r="A5" t="str">
            <v>2       5.1.1.</v>
          </cell>
        </row>
        <row r="8">
          <cell r="G8">
            <v>70.209999999999994</v>
          </cell>
          <cell r="I8">
            <v>151.82</v>
          </cell>
        </row>
        <row r="9">
          <cell r="A9" t="str">
            <v>3.           M-004</v>
          </cell>
        </row>
        <row r="12">
          <cell r="G12">
            <v>26.2</v>
          </cell>
        </row>
        <row r="13">
          <cell r="A13" t="str">
            <v>4.       5.6.8 (C.I.W.)</v>
          </cell>
        </row>
        <row r="16">
          <cell r="G16">
            <v>44.01</v>
          </cell>
          <cell r="I16">
            <v>1756.4</v>
          </cell>
        </row>
        <row r="17">
          <cell r="A17" t="str">
            <v>5.     5.3.1.1</v>
          </cell>
        </row>
        <row r="20">
          <cell r="G20">
            <v>52.39</v>
          </cell>
          <cell r="I20">
            <v>4961.7299999999996</v>
          </cell>
        </row>
        <row r="21">
          <cell r="A21" t="str">
            <v>6               5.3.17.1</v>
          </cell>
        </row>
        <row r="24">
          <cell r="G24">
            <v>34.39</v>
          </cell>
          <cell r="I24">
            <v>194.5</v>
          </cell>
        </row>
        <row r="25">
          <cell r="A25">
            <v>7</v>
          </cell>
        </row>
        <row r="26">
          <cell r="I26">
            <v>848.82</v>
          </cell>
        </row>
        <row r="29">
          <cell r="I29">
            <v>679.66</v>
          </cell>
        </row>
        <row r="30">
          <cell r="I30">
            <v>117.54</v>
          </cell>
        </row>
      </sheetData>
      <sheetData sheetId="1" refreshError="1"/>
      <sheetData sheetId="2" refreshError="1">
        <row r="7">
          <cell r="F7">
            <v>22.53</v>
          </cell>
          <cell r="G7">
            <v>26.2</v>
          </cell>
          <cell r="H7">
            <v>45.06</v>
          </cell>
          <cell r="I7">
            <v>44.01</v>
          </cell>
          <cell r="J7">
            <v>70.209999999999994</v>
          </cell>
        </row>
      </sheetData>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ESTIMATE"/>
      <sheetName val="BOQ"/>
      <sheetName val="MATERIAL "/>
    </sheetNames>
    <sheetDataSet>
      <sheetData sheetId="0">
        <row r="2">
          <cell r="A2" t="str">
            <v>Name of Work :-CONSTRUCTION OF PCC R0AD AT NEW PUNDAG JAGRNATH VIHAR HOUSE OF AMER YADAV TO HOUSE OF RAJU JEE  UNDER WARD NO-36</v>
          </cell>
        </row>
        <row r="4">
          <cell r="G4">
            <v>1</v>
          </cell>
          <cell r="I4">
            <v>326.85000000000002</v>
          </cell>
        </row>
        <row r="5">
          <cell r="A5" t="str">
            <v>2       5.1.1.</v>
          </cell>
        </row>
        <row r="8">
          <cell r="G8">
            <v>18.97</v>
          </cell>
          <cell r="I8">
            <v>151.82</v>
          </cell>
        </row>
        <row r="9">
          <cell r="A9" t="str">
            <v>3.           M-004</v>
          </cell>
        </row>
        <row r="12">
          <cell r="G12">
            <v>7.08</v>
          </cell>
        </row>
        <row r="13">
          <cell r="A13" t="str">
            <v>4.       5.6.8 (C.I.W.)</v>
          </cell>
        </row>
        <row r="16">
          <cell r="G16">
            <v>11.89</v>
          </cell>
          <cell r="I16">
            <v>1756.4</v>
          </cell>
        </row>
        <row r="17">
          <cell r="A17" t="str">
            <v>5.     5.3.1.1</v>
          </cell>
        </row>
        <row r="20">
          <cell r="G20">
            <v>14.16</v>
          </cell>
          <cell r="I20">
            <v>4961.7299999999996</v>
          </cell>
        </row>
        <row r="21">
          <cell r="A21" t="str">
            <v>6               5.3.17.1</v>
          </cell>
        </row>
        <row r="24">
          <cell r="G24">
            <v>9.2899999999999991</v>
          </cell>
          <cell r="I24">
            <v>194.5</v>
          </cell>
        </row>
        <row r="25">
          <cell r="A25">
            <v>7</v>
          </cell>
        </row>
        <row r="26">
          <cell r="I26">
            <v>848.82</v>
          </cell>
        </row>
        <row r="29">
          <cell r="I29">
            <v>679.66</v>
          </cell>
        </row>
        <row r="30">
          <cell r="I30">
            <v>117.54</v>
          </cell>
        </row>
      </sheetData>
      <sheetData sheetId="1"/>
      <sheetData sheetId="2">
        <row r="7">
          <cell r="F7">
            <v>6.09</v>
          </cell>
          <cell r="G7">
            <v>7.08</v>
          </cell>
          <cell r="H7">
            <v>12.18</v>
          </cell>
          <cell r="I7">
            <v>11.89</v>
          </cell>
          <cell r="J7">
            <v>18.97</v>
          </cell>
        </row>
      </sheetData>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DETAILED ESTIMATE"/>
      <sheetName val="MATERIAL STATEMENT"/>
      <sheetName val="BILL OF QUANTITY"/>
    </sheetNames>
    <sheetDataSet>
      <sheetData sheetId="0">
        <row r="7">
          <cell r="G7">
            <v>50.093457943925237</v>
          </cell>
        </row>
        <row r="11">
          <cell r="G11">
            <v>50.093457943925237</v>
          </cell>
        </row>
        <row r="16">
          <cell r="G16">
            <v>20.446096654275092</v>
          </cell>
        </row>
        <row r="21">
          <cell r="G21">
            <v>31.15264797507788</v>
          </cell>
        </row>
      </sheetData>
      <sheetData sheetId="1">
        <row r="7">
          <cell r="F7">
            <v>13.395638629283487</v>
          </cell>
          <cell r="G7">
            <v>94.21707165109035</v>
          </cell>
          <cell r="H7">
            <v>50.093457943925237</v>
          </cell>
        </row>
      </sheetData>
      <sheetData sheetId="2"/>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ESTIMATE"/>
      <sheetName val="BOQ"/>
      <sheetName val="MATERIAL "/>
    </sheetNames>
    <sheetDataSet>
      <sheetData sheetId="0">
        <row r="2">
          <cell r="A2" t="str">
            <v>Name of Work :-CONSTRUCTION OF PCC R0AD AT EKTA NAGAR HOUSE OF MANOJ SARMA TO HOUSE OF RAMSHAN SINGH VIA SURANR SINGH UNDER WARD NO-52</v>
          </cell>
        </row>
        <row r="4">
          <cell r="B4" t="str">
            <v>Labour for site clearence before and after the work etc.</v>
          </cell>
          <cell r="G4">
            <v>5</v>
          </cell>
          <cell r="H4" t="str">
            <v>No.</v>
          </cell>
          <cell r="I4">
            <v>326.85000000000002</v>
          </cell>
        </row>
        <row r="5">
          <cell r="A5" t="str">
            <v>2       5.1.1.</v>
          </cell>
          <cell r="B5" t="str">
            <v xml:space="preserve">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                                                                              </v>
          </cell>
        </row>
        <row r="8">
          <cell r="G8">
            <v>132.06</v>
          </cell>
          <cell r="I8">
            <v>151.82</v>
          </cell>
        </row>
        <row r="9">
          <cell r="A9" t="str">
            <v>3.           M-004</v>
          </cell>
          <cell r="B9" t="str">
            <v xml:space="preserve">Providing stone cruster dust finer than 3mm with not more than 10% passing 0.075 sieve at Quarry in filling in foundation trenches or in plinth including  ramming and watering in layers not exceeding 150 mm thick with all leads and lifts including cost of materials , labour , royalty and taxes all complete as per specification and  direction of E/I. (Mode of measurement compacted volume. )                               </v>
          </cell>
        </row>
        <row r="12">
          <cell r="G12">
            <v>49.28</v>
          </cell>
          <cell r="I12">
            <v>347.85</v>
          </cell>
        </row>
        <row r="13">
          <cell r="A13" t="str">
            <v>4.       5.6.8 (C.I.W.)</v>
          </cell>
          <cell r="B13" t="str">
            <v>Supplying and laying (properly as per design and drawing )rip-rap with good quality of boulders duly packed including the cost of materials,royalty all taxes etc.but excluding the cost of carriage, all complete as per specification and direction of E/I.</v>
          </cell>
        </row>
        <row r="16">
          <cell r="G16">
            <v>82.79</v>
          </cell>
          <cell r="I16">
            <v>1756.4</v>
          </cell>
        </row>
        <row r="17">
          <cell r="A17" t="str">
            <v>5.     5.3.1.1</v>
          </cell>
          <cell r="B17" t="str">
            <v xml:space="preserve">Providing and laying in position cement concrete of specified grade excluding the cost of centering and shuttering- All work upto plinth level : 1:1½:3 (1 cemet : 1½ coarse sand (zone-iii) : 3 graded stone aggregate 20mm nominal size )  </v>
          </cell>
        </row>
        <row r="20">
          <cell r="G20">
            <v>98.56</v>
          </cell>
          <cell r="I20">
            <v>4961.7299999999996</v>
          </cell>
        </row>
        <row r="21">
          <cell r="A21" t="str">
            <v>6               5.3.17.1</v>
          </cell>
          <cell r="B21" t="str">
            <v>Centering and shuttering including strutting, propping etc. and removal of from for Foundations, footings, bases of columns, etc. for mass concrete.</v>
          </cell>
        </row>
        <row r="24">
          <cell r="G24">
            <v>53.9</v>
          </cell>
          <cell r="I24">
            <v>194.5</v>
          </cell>
        </row>
        <row r="25">
          <cell r="A25">
            <v>7</v>
          </cell>
        </row>
        <row r="26">
          <cell r="B26" t="str">
            <v>SAND-LEAD-42KM</v>
          </cell>
          <cell r="I26">
            <v>744.66</v>
          </cell>
        </row>
        <row r="27">
          <cell r="B27" t="str">
            <v>STONE DUST-LEAD-15KM</v>
          </cell>
          <cell r="I27">
            <v>342.9</v>
          </cell>
        </row>
        <row r="28">
          <cell r="B28" t="str">
            <v>STONE CHIPS-LEAD-15KM</v>
          </cell>
          <cell r="I28">
            <v>342.9</v>
          </cell>
        </row>
        <row r="29">
          <cell r="B29" t="str">
            <v>BOULDER-LEAD-29KM</v>
          </cell>
          <cell r="I29">
            <v>570.94000000000005</v>
          </cell>
        </row>
        <row r="30">
          <cell r="B30" t="str">
            <v>EARTH-LEAD-01km</v>
          </cell>
          <cell r="I30">
            <v>117.54</v>
          </cell>
        </row>
      </sheetData>
      <sheetData sheetId="1" refreshError="1"/>
      <sheetData sheetId="2">
        <row r="7">
          <cell r="F7">
            <v>42.38</v>
          </cell>
          <cell r="G7">
            <v>49.28</v>
          </cell>
          <cell r="H7">
            <v>84.76</v>
          </cell>
          <cell r="I7">
            <v>82.79</v>
          </cell>
          <cell r="J7">
            <v>132.06</v>
          </cell>
        </row>
      </sheetData>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ESTIMATE"/>
      <sheetName val="BOQ"/>
      <sheetName val="MATERIAL "/>
    </sheetNames>
    <sheetDataSet>
      <sheetData sheetId="0">
        <row r="2">
          <cell r="A2" t="str">
            <v>Name of Work :-CONSTRUCTION OF PCC R0AD AT OBRIA ROAD AT P.C.C. MAIN ROAD TO HOUSE OF MANISH KUMAR UNDER WARD NO-52</v>
          </cell>
        </row>
        <row r="4">
          <cell r="A4">
            <v>1</v>
          </cell>
          <cell r="B4" t="str">
            <v>Labour for site clearence before and after the work etc.</v>
          </cell>
          <cell r="G4">
            <v>5</v>
          </cell>
          <cell r="H4" t="str">
            <v>No.</v>
          </cell>
          <cell r="I4">
            <v>326.85000000000002</v>
          </cell>
        </row>
        <row r="5">
          <cell r="A5" t="str">
            <v>2       5.1.1.</v>
          </cell>
          <cell r="B5" t="str">
            <v xml:space="preserve">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                                                                              </v>
          </cell>
        </row>
        <row r="8">
          <cell r="G8">
            <v>68.31</v>
          </cell>
          <cell r="I8">
            <v>151.82</v>
          </cell>
        </row>
        <row r="9">
          <cell r="A9" t="str">
            <v>3.           M-004</v>
          </cell>
          <cell r="B9" t="str">
            <v xml:space="preserve">Providing stone cruster dust finer than 3mm with not more than 10% passing 0.075 sieve at Quarry in filling in foundation trenches or in plinth including  ramming and watering in layers not exceeding 150 mm thick with all leads and lifts including cost of materials , labour , royalty and taxes all complete as per specification and  direction of E/I. (Mode of measurement compacted volume. )                               </v>
          </cell>
        </row>
        <row r="12">
          <cell r="G12">
            <v>25.49</v>
          </cell>
          <cell r="I12">
            <v>347.85</v>
          </cell>
        </row>
        <row r="13">
          <cell r="A13" t="str">
            <v>4.       5.6.8 (C.I.W.)</v>
          </cell>
          <cell r="B13" t="str">
            <v>Supplying and laying (properly as per design and drawing )rip-rap with good quality of boulders duly packed including the cost of materials,royalty all taxes etc.but excluding the cost of carriage, all complete as per specification and direction of E/I.</v>
          </cell>
        </row>
        <row r="16">
          <cell r="G16">
            <v>42.82</v>
          </cell>
          <cell r="I16">
            <v>1756.4</v>
          </cell>
        </row>
        <row r="17">
          <cell r="A17" t="str">
            <v>5.     5.3.1.1</v>
          </cell>
          <cell r="B17" t="str">
            <v xml:space="preserve">Providing and laying in position cement concrete of specified grade excluding the cost of centering and shuttering- All work upto plinth level : 1:1½:3 (1 cemet : 1½ coarse sand (zone-iii) : 3 graded stone aggregate 20mm nominal size )  </v>
          </cell>
        </row>
        <row r="20">
          <cell r="G20">
            <v>50.98</v>
          </cell>
          <cell r="I20">
            <v>4961.7299999999996</v>
          </cell>
        </row>
        <row r="21">
          <cell r="A21" t="str">
            <v>6               5.3.17.1</v>
          </cell>
          <cell r="B21" t="str">
            <v>Centering and shuttering including strutting, propping etc. and removal of from for Foundations, footings, bases of columns, etc. for mass concrete.</v>
          </cell>
        </row>
        <row r="24">
          <cell r="G24">
            <v>33.46</v>
          </cell>
          <cell r="I24">
            <v>194.5</v>
          </cell>
        </row>
        <row r="25">
          <cell r="A25">
            <v>7</v>
          </cell>
        </row>
        <row r="26">
          <cell r="B26" t="str">
            <v>SAND-LEAD-42KM</v>
          </cell>
          <cell r="I26">
            <v>744.66</v>
          </cell>
        </row>
        <row r="27">
          <cell r="B27" t="str">
            <v>STONE DUST-LEAD-15KM</v>
          </cell>
          <cell r="I27">
            <v>342.9</v>
          </cell>
        </row>
        <row r="28">
          <cell r="B28" t="str">
            <v>STONE CHIPS-LEAD-15KM</v>
          </cell>
          <cell r="I28">
            <v>342.9</v>
          </cell>
        </row>
        <row r="29">
          <cell r="B29" t="str">
            <v>BOULDER-LEAD-29KM</v>
          </cell>
          <cell r="I29">
            <v>570.94000000000005</v>
          </cell>
        </row>
        <row r="30">
          <cell r="B30" t="str">
            <v>EARTH-LEAD-01km</v>
          </cell>
          <cell r="I30">
            <v>117.54</v>
          </cell>
        </row>
      </sheetData>
      <sheetData sheetId="1"/>
      <sheetData sheetId="2">
        <row r="7">
          <cell r="F7">
            <v>21.92</v>
          </cell>
          <cell r="G7">
            <v>25.49</v>
          </cell>
          <cell r="H7">
            <v>43.84</v>
          </cell>
          <cell r="I7">
            <v>42.82</v>
          </cell>
          <cell r="J7">
            <v>68.31</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CC ROAD"/>
      <sheetName val="PCC Material"/>
      <sheetName val="RCC DRAIN"/>
      <sheetName val="Drain Material"/>
      <sheetName val="comp"/>
      <sheetName val="comp mat"/>
      <sheetName val="Abstract"/>
      <sheetName val="Dy. Mayor"/>
      <sheetName val="Dy. Mat"/>
      <sheetName val="File"/>
      <sheetName val="w2 MUMTAZ"/>
      <sheetName val="mat2"/>
      <sheetName val="W2 JOGO"/>
      <sheetName val="MAT JOGO"/>
      <sheetName val="ADALHATU RD5"/>
      <sheetName val="RD5 MAT"/>
      <sheetName val="Big Drain"/>
      <sheetName val="big mat"/>
      <sheetName val="W5 DRAIN"/>
      <sheetName val="W5 MAT"/>
      <sheetName val="Drain5"/>
      <sheetName val="w5mat"/>
      <sheetName val="ward 5 final"/>
      <sheetName val="final mat"/>
      <sheetName val="Sheet1"/>
      <sheetName val="w9"/>
      <sheetName val="PCC Material (2)"/>
      <sheetName val="AKHRA SHED MANCH"/>
      <sheetName val="SHED MANCH MAT"/>
      <sheetName val="Sarna Colony"/>
      <sheetName val="sarna mat"/>
      <sheetName val="krishna nagar"/>
      <sheetName val="krishna mat"/>
      <sheetName val="PUCHKA"/>
      <sheetName val="PUCHKA MAT"/>
      <sheetName val="GANPATI"/>
      <sheetName val="GANPATI MAT"/>
      <sheetName val="DEVI MANDAP"/>
      <sheetName val="DEVI MAT"/>
      <sheetName val="SINDWAR"/>
      <sheetName val="SINDWAR MAT"/>
      <sheetName val="SIND KARAM"/>
      <sheetName val="KARAM MAT"/>
      <sheetName val="Chitragupt 5"/>
      <sheetName val="Chitra mat"/>
      <sheetName val="FULA MAHTO5"/>
      <sheetName val="FULA MAT"/>
      <sheetName val="Leam Basti"/>
      <sheetName val="Leam Mat"/>
      <sheetName val="Ram Ohdar"/>
      <sheetName val="R Ohdar Mat"/>
      <sheetName val="sundar nagar"/>
      <sheetName val="sundar mat"/>
      <sheetName val="KHIJURTOLA GREEN"/>
      <sheetName val="KHI GREEN MAT"/>
      <sheetName val="KHIJURTOLA ASHOK"/>
      <sheetName val="KHI ASHOK MAT"/>
      <sheetName val="KHI TAPU"/>
      <sheetName val="KHI TAPU MAT"/>
      <sheetName val="WAXPOL"/>
      <sheetName val="WAXPOL MAT"/>
      <sheetName val="LEAM BASTI GOVT SCHOOL"/>
      <sheetName val="LEAM GOVT MAT"/>
      <sheetName val="LEAM BOQ"/>
      <sheetName val="Basant shiv"/>
      <sheetName val="Basant Mat"/>
      <sheetName val="Basant BOQ"/>
      <sheetName val="Govindam paver"/>
      <sheetName val="gov mat"/>
      <sheetName val="Govindam BOQ"/>
      <sheetName val="BIL TANR"/>
      <sheetName val="BIL MAT"/>
      <sheetName val="BILTANR BOQ"/>
      <sheetName val="fula BOQ"/>
    </sheetNames>
    <sheetDataSet>
      <sheetData sheetId="0">
        <row r="7">
          <cell r="I7">
            <v>139.58000000000001</v>
          </cell>
        </row>
      </sheetData>
      <sheetData sheetId="1"/>
      <sheetData sheetId="2">
        <row r="37">
          <cell r="I37">
            <v>848.82</v>
          </cell>
        </row>
        <row r="38">
          <cell r="I38">
            <v>313.14</v>
          </cell>
        </row>
        <row r="39">
          <cell r="I39">
            <v>447.06</v>
          </cell>
        </row>
        <row r="40">
          <cell r="I40">
            <v>679.66</v>
          </cell>
        </row>
        <row r="41">
          <cell r="I41">
            <v>117.54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2">
          <cell r="B2" t="str">
            <v>NAME OF WORK:-Construction of RCC drain From Aughad Bhagwan Ram Ashram To Phool Baba Ashram Under Ward No. 21.</v>
          </cell>
        </row>
        <row r="4">
          <cell r="B4" t="str">
            <v>Dismentalling of Plain Cement Concrete and………..Do…..E/I.</v>
          </cell>
        </row>
        <row r="7">
          <cell r="G7">
            <v>5.1732276031341442</v>
          </cell>
        </row>
        <row r="12">
          <cell r="G12">
            <v>36.159728122344944</v>
          </cell>
          <cell r="I12">
            <v>167.33</v>
          </cell>
        </row>
        <row r="13">
          <cell r="A13" t="str">
            <v>BCD SOR 5.1.10</v>
          </cell>
        </row>
        <row r="17">
          <cell r="G17">
            <v>3.4</v>
          </cell>
        </row>
        <row r="22">
          <cell r="G22">
            <v>5.67</v>
          </cell>
        </row>
        <row r="23">
          <cell r="A23" t="str">
            <v>5.    5.3.10</v>
          </cell>
          <cell r="B23" t="str">
            <v xml:space="preserve">Reinforced cement concrete work in walls(any thickness),including attached pilasters, buttresses,plinth and string courses,fillets columns,pillars,piers,abutments,posts and struts etc.above plinth level up to floor five level,excluding cost of centering,shuttering,finishing and reinforcement:    1:1.5:3(1 cement :1.5 coarse sand(zoneIII):3 graded stone aggregate                        </v>
          </cell>
        </row>
        <row r="29">
          <cell r="G29">
            <v>20.85</v>
          </cell>
        </row>
        <row r="30">
          <cell r="A30" t="str">
            <v>6. 5.3.11</v>
          </cell>
          <cell r="B30" t="str">
            <v xml:space="preserve"> Reinforced  cement  concrete  work  in  beams,  suspended  floors,  roofs  having slope up to 15° landings, balconies, shelves, chajjas, lintels, bands, plain window sills, staircases and spiral stair cases above plinth level up to floor five level, excluding the cost of centering, shuttering, finishing and reinforcement, with 1:1.5:3 (1 cement : 1.5 coarse sand(zone-III)  : 3 graded stone aggregate 20 mm nominal size).</v>
          </cell>
        </row>
        <row r="34">
          <cell r="G34">
            <v>6.8</v>
          </cell>
        </row>
        <row r="39">
          <cell r="G39">
            <v>3.4159999999999999</v>
          </cell>
        </row>
        <row r="47">
          <cell r="G47">
            <v>102.94000000000001</v>
          </cell>
        </row>
        <row r="49">
          <cell r="B49" t="str">
            <v>Sand  (Lead Upto 49 km)</v>
          </cell>
          <cell r="I49">
            <v>848.82</v>
          </cell>
        </row>
        <row r="50">
          <cell r="B50" t="str">
            <v>LOCAL SAND (Lead 13 KM)</v>
          </cell>
          <cell r="I50">
            <v>417.3</v>
          </cell>
        </row>
        <row r="51">
          <cell r="B51" t="str">
            <v>Stone Boulder (Lead 36 KM)</v>
          </cell>
          <cell r="I51">
            <v>679.66</v>
          </cell>
        </row>
        <row r="52">
          <cell r="B52" t="str">
            <v>Stone Chips (Lead 22KM)</v>
          </cell>
          <cell r="I52">
            <v>447.06</v>
          </cell>
        </row>
        <row r="53">
          <cell r="B53" t="str">
            <v>Earth (Lead 01 KM)</v>
          </cell>
          <cell r="I53">
            <v>117.54</v>
          </cell>
        </row>
      </sheetData>
      <sheetData sheetId="1">
        <row r="9">
          <cell r="E9">
            <v>3.4</v>
          </cell>
          <cell r="F9">
            <v>12.32</v>
          </cell>
          <cell r="G9">
            <v>24.64</v>
          </cell>
          <cell r="H9">
            <v>5.67</v>
          </cell>
          <cell r="I9">
            <v>36.159728122344944</v>
          </cell>
        </row>
      </sheetData>
      <sheetData sheetId="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ESTIMATE"/>
      <sheetName val="MATERIAL "/>
      <sheetName val="BOQ"/>
    </sheetNames>
    <sheetDataSet>
      <sheetData sheetId="0">
        <row r="2">
          <cell r="A2" t="str">
            <v xml:space="preserve">Name of Work :-IMPROVEMENT OF PCC ROAD AT IMLI TOLA UNDER WARD NO. 23 </v>
          </cell>
        </row>
        <row r="4">
          <cell r="G4">
            <v>2</v>
          </cell>
          <cell r="I4">
            <v>326.85000000000002</v>
          </cell>
        </row>
        <row r="5">
          <cell r="A5" t="str">
            <v>2.     5.3.1.1</v>
          </cell>
        </row>
        <row r="8">
          <cell r="G8">
            <v>31.22</v>
          </cell>
          <cell r="I8">
            <v>4961.7299999999996</v>
          </cell>
        </row>
        <row r="9">
          <cell r="A9" t="str">
            <v>3                 5.3.17.1</v>
          </cell>
        </row>
        <row r="12">
          <cell r="G12">
            <v>19.52</v>
          </cell>
          <cell r="I12">
            <v>194.5</v>
          </cell>
        </row>
        <row r="13">
          <cell r="A13">
            <v>4</v>
          </cell>
        </row>
        <row r="14">
          <cell r="I14">
            <v>848.82</v>
          </cell>
        </row>
        <row r="15">
          <cell r="I15">
            <v>447.06</v>
          </cell>
        </row>
      </sheetData>
      <sheetData sheetId="1">
        <row r="4">
          <cell r="F4">
            <v>13.42</v>
          </cell>
          <cell r="G4">
            <v>26.85</v>
          </cell>
        </row>
      </sheetData>
      <sheetData sheetId="2"/>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ESTIMATE"/>
      <sheetName val="BOQ"/>
      <sheetName val="MATERIAL "/>
    </sheetNames>
    <sheetDataSet>
      <sheetData sheetId="0">
        <row r="2">
          <cell r="A2" t="str">
            <v>Name of Work :-IMPROVEMENT OF PCC ROAD AT TASLIM MASZID ROAD, INFRONT OF WATER TANK GALI FROM MARHUM YUNUS HOUSE TO SHAMS TAUHID HOUSE AND CONSTRUCTION OF RCC CULVERT AT NEAR CENTRAL STREET LAL BUILDING UNDER WARD NO-23</v>
          </cell>
        </row>
        <row r="4">
          <cell r="A4">
            <v>1</v>
          </cell>
          <cell r="B4" t="str">
            <v>Labour for site clearence before and after the work, Including Head load &amp;Groove cutting etc.</v>
          </cell>
          <cell r="G4">
            <v>4</v>
          </cell>
          <cell r="H4" t="str">
            <v>No.</v>
          </cell>
          <cell r="I4">
            <v>326.85000000000002</v>
          </cell>
        </row>
        <row r="5">
          <cell r="A5" t="str">
            <v>2     5.10.2</v>
          </cell>
          <cell r="B5" t="str">
            <v>Dismantling plain cement or lime concrete work including ………do…….complete as per specification and  direction of E/I.</v>
          </cell>
        </row>
        <row r="9">
          <cell r="G9">
            <v>0.35</v>
          </cell>
          <cell r="I9">
            <v>955.89</v>
          </cell>
        </row>
        <row r="10">
          <cell r="A10" t="str">
            <v>3
5.10.3</v>
          </cell>
          <cell r="B10" t="str">
            <v>Dismantling R.C.C work  including stacking serviceable materials in countable stacks within 15M.lead and disposal of unserviceable materials with all leads complete  as per direction of E/I.</v>
          </cell>
        </row>
        <row r="14">
          <cell r="G14">
            <v>0.43</v>
          </cell>
          <cell r="I14">
            <v>1993.04</v>
          </cell>
        </row>
        <row r="15">
          <cell r="A15" t="str">
            <v>4       5.1.1.</v>
          </cell>
          <cell r="B15" t="str">
            <v xml:space="preserve">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                                                                              </v>
          </cell>
        </row>
        <row r="19">
          <cell r="G19">
            <v>5</v>
          </cell>
          <cell r="I19">
            <v>151.82</v>
          </cell>
        </row>
        <row r="20">
          <cell r="A20" t="str">
            <v>5.         5.1.10</v>
          </cell>
          <cell r="B20" t="str">
            <v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 Mode of measurement compacted volume. )                               </v>
          </cell>
        </row>
        <row r="23">
          <cell r="G23">
            <v>0.43</v>
          </cell>
          <cell r="I23">
            <v>589.51</v>
          </cell>
        </row>
        <row r="24">
          <cell r="A24" t="str">
            <v>6.       5.6.8 (C.I.W.)</v>
          </cell>
          <cell r="B24" t="str">
            <v>Supplying and laying (properly as per design and drawing )rip-rap with good quality of boulders duly packed including the cost of materials,royalty all taxes etc.but excluding the cost of carriage, all complete as per specification and direction of E/I.</v>
          </cell>
        </row>
        <row r="27">
          <cell r="G27">
            <v>0.73</v>
          </cell>
          <cell r="I27">
            <v>1756.4</v>
          </cell>
        </row>
        <row r="28">
          <cell r="A28" t="str">
            <v>7     5.3.10</v>
          </cell>
          <cell r="B28" t="str">
            <v>Providing R.C.C M 200 in nominal mix (1:1.5:3)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v>
          </cell>
        </row>
        <row r="32">
          <cell r="G32">
            <v>2.38</v>
          </cell>
          <cell r="I32">
            <v>6082.45</v>
          </cell>
        </row>
        <row r="33">
          <cell r="A33" t="str">
            <v>8                  5.3.11</v>
          </cell>
          <cell r="B33" t="str">
            <v xml:space="preserve">Reinforced cement concrete work in beam, suspended floors, roofs having slope up to 15° landing,balconies, shelves, chajjas, lintel, bands, plain window sills, staircases and spiral stair cases above plinth level up to floor five level, excluding the cost of centering, shuttering, finishing and reinfocement, with 1:1.5:3(1 cement : 1.5 coarse sand(zone-iii) : 3 graded  stone aggregate 20mm nominal size)                                                             </v>
          </cell>
        </row>
        <row r="37">
          <cell r="G37">
            <v>4.7</v>
          </cell>
          <cell r="I37">
            <v>6308.87</v>
          </cell>
        </row>
        <row r="38">
          <cell r="A38">
            <v>9</v>
          </cell>
          <cell r="B38" t="str">
            <v xml:space="preserve">Providing  Tor steel reinforcement of 8mm, 10mm, 12mm, and 16mm dia rods bars as per approved design and drawing with cutting,bending and binding with annealed wire with cost of wire,removal of rust,placing the rods in position (excluding carriage of bars to work site), all complete as per building specification and direction of E/I. TMT Fe 500 (only valid for SAIL and TATA steel,JSPL,Electro steel Ltd Bokaro and Vizag (RINL) </v>
          </cell>
        </row>
        <row r="41">
          <cell r="G41">
            <v>0.08</v>
          </cell>
          <cell r="I41">
            <v>83314.02</v>
          </cell>
        </row>
        <row r="42">
          <cell r="A42" t="str">
            <v>5.5.5(a)</v>
          </cell>
        </row>
        <row r="45">
          <cell r="G45">
            <v>0.52</v>
          </cell>
          <cell r="I45">
            <v>82096.539999999994</v>
          </cell>
        </row>
        <row r="46">
          <cell r="A46" t="str">
            <v>10.     5.3.1.1</v>
          </cell>
          <cell r="B46" t="str">
            <v xml:space="preserve">Providing and laying in position cement concrete of specified grade excluding the cost of centering and shuttering- All work upto plinth level : 1:1½:3 (1 cemet : 1½ coarse sand (zone-iii) : 3 graded stone aggregate 20mm nominal size )  </v>
          </cell>
        </row>
        <row r="49">
          <cell r="G49">
            <v>32.71</v>
          </cell>
          <cell r="I49">
            <v>4961.7299999999996</v>
          </cell>
        </row>
        <row r="50">
          <cell r="A50" t="str">
            <v>11               5.3.17.1</v>
          </cell>
          <cell r="B50" t="str">
            <v>Centering and shuttering including strutting, propping etc. and removal of from for Foundations, footings, bases of columns, etc. for mass concrete.</v>
          </cell>
        </row>
        <row r="56">
          <cell r="G56">
            <v>61.27</v>
          </cell>
          <cell r="I56">
            <v>194.5</v>
          </cell>
        </row>
        <row r="57">
          <cell r="A57">
            <v>12</v>
          </cell>
        </row>
        <row r="58">
          <cell r="A58" t="str">
            <v>(i)</v>
          </cell>
          <cell r="B58" t="str">
            <v>SAND-LEAD-49KM</v>
          </cell>
          <cell r="G58">
            <v>17.11</v>
          </cell>
          <cell r="I58">
            <v>848.82</v>
          </cell>
        </row>
        <row r="59">
          <cell r="A59" t="str">
            <v>(ii)</v>
          </cell>
          <cell r="B59" t="str">
            <v>LOCAL SAND-LEAD-14KM</v>
          </cell>
          <cell r="G59">
            <v>0.43</v>
          </cell>
          <cell r="I59">
            <v>328.02</v>
          </cell>
        </row>
        <row r="60">
          <cell r="A60" t="str">
            <v>(iii)</v>
          </cell>
          <cell r="B60" t="str">
            <v>STONE CHIPS-LEAD-22KM</v>
          </cell>
          <cell r="G60">
            <v>34.22</v>
          </cell>
          <cell r="I60">
            <v>447.06</v>
          </cell>
        </row>
        <row r="61">
          <cell r="A61" t="str">
            <v>(iv)</v>
          </cell>
          <cell r="B61" t="str">
            <v>BOULDER-LEAD-36KM</v>
          </cell>
          <cell r="G61">
            <v>0.73</v>
          </cell>
          <cell r="I61">
            <v>679.66</v>
          </cell>
        </row>
        <row r="62">
          <cell r="A62" t="str">
            <v>(v)</v>
          </cell>
          <cell r="B62" t="str">
            <v>EARTH-LEAD-01km</v>
          </cell>
          <cell r="G62">
            <v>5</v>
          </cell>
          <cell r="I62">
            <v>117.54</v>
          </cell>
        </row>
      </sheetData>
      <sheetData sheetId="1"/>
      <sheetData sheetId="2"/>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ESTIMATE"/>
      <sheetName val="MATERIAL "/>
      <sheetName val="BOQ"/>
    </sheetNames>
    <sheetDataSet>
      <sheetData sheetId="0">
        <row r="2">
          <cell r="A2" t="str">
            <v xml:space="preserve">Name of Work :-CONSTRUCTION OF PCC ROAD AT BESIDE ARSHI APARTMENT GALI UNDER WARD NO. 23 </v>
          </cell>
        </row>
        <row r="4">
          <cell r="G4">
            <v>3</v>
          </cell>
          <cell r="I4">
            <v>326.85000000000002</v>
          </cell>
        </row>
        <row r="5">
          <cell r="A5" t="str">
            <v>2 (J.B.C.D.5.1.1.)</v>
          </cell>
        </row>
        <row r="8">
          <cell r="G8">
            <v>14.73</v>
          </cell>
          <cell r="I8">
            <v>151.82</v>
          </cell>
        </row>
        <row r="9">
          <cell r="A9" t="str">
            <v>3.         5.1.10</v>
          </cell>
          <cell r="B9" t="str">
            <v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 Mode of measurement compacted volume. )                               </v>
          </cell>
        </row>
        <row r="12">
          <cell r="G12">
            <v>3.68</v>
          </cell>
          <cell r="I12">
            <v>589.51</v>
          </cell>
        </row>
        <row r="13">
          <cell r="A13" t="str">
            <v>4.        (J.B.C.D.5.6.8)</v>
          </cell>
        </row>
        <row r="16">
          <cell r="G16">
            <v>6.19</v>
          </cell>
          <cell r="I16">
            <v>1756.4</v>
          </cell>
        </row>
        <row r="17">
          <cell r="A17" t="str">
            <v>5.     5.3.1.1</v>
          </cell>
        </row>
        <row r="22">
          <cell r="G22">
            <v>46.02</v>
          </cell>
          <cell r="I22">
            <v>4961.7299999999996</v>
          </cell>
        </row>
        <row r="23">
          <cell r="A23" t="str">
            <v>6                 5.3.17.1</v>
          </cell>
        </row>
        <row r="27">
          <cell r="G27">
            <v>48.33</v>
          </cell>
          <cell r="I27">
            <v>194.5</v>
          </cell>
        </row>
        <row r="28">
          <cell r="A28">
            <v>7</v>
          </cell>
        </row>
        <row r="29">
          <cell r="I29">
            <v>848.82</v>
          </cell>
        </row>
        <row r="30">
          <cell r="B30" t="str">
            <v>LOCAL SAND-14KM</v>
          </cell>
          <cell r="I30">
            <v>328.02</v>
          </cell>
        </row>
        <row r="31">
          <cell r="I31">
            <v>447.06</v>
          </cell>
        </row>
        <row r="32">
          <cell r="I32">
            <v>679.66</v>
          </cell>
        </row>
        <row r="33">
          <cell r="I33">
            <v>117.54</v>
          </cell>
        </row>
      </sheetData>
      <sheetData sheetId="1">
        <row r="3">
          <cell r="C3">
            <v>14.73</v>
          </cell>
        </row>
        <row r="4">
          <cell r="G4">
            <v>3.68</v>
          </cell>
        </row>
        <row r="5">
          <cell r="C5">
            <v>6.19</v>
          </cell>
        </row>
        <row r="7">
          <cell r="F7">
            <v>19.79</v>
          </cell>
          <cell r="H7">
            <v>39.58</v>
          </cell>
        </row>
      </sheetData>
      <sheetData sheetId="2"/>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ESTIMATE"/>
      <sheetName val="MATERIAL "/>
      <sheetName val="BOQ"/>
    </sheetNames>
    <sheetDataSet>
      <sheetData sheetId="0">
        <row r="4">
          <cell r="G4">
            <v>5</v>
          </cell>
          <cell r="I4">
            <v>326.85000000000002</v>
          </cell>
        </row>
        <row r="9">
          <cell r="G9">
            <v>1.36</v>
          </cell>
          <cell r="I9">
            <v>541.66999999999996</v>
          </cell>
        </row>
        <row r="10">
          <cell r="A10" t="str">
            <v>3       (J.B.C.D 5.10.3)</v>
          </cell>
          <cell r="B10" t="str">
            <v>Dismantling RCC slab including stacking serviceable material in countable stacks withnn 15M.lead and disposal of unserviceable material with all lead completed as per direction of E/I.</v>
          </cell>
        </row>
        <row r="13">
          <cell r="G13">
            <v>0.68</v>
          </cell>
          <cell r="I13">
            <v>1993.04</v>
          </cell>
        </row>
        <row r="21">
          <cell r="G21">
            <v>175.75</v>
          </cell>
          <cell r="I21">
            <v>151.82</v>
          </cell>
        </row>
        <row r="27">
          <cell r="G27">
            <v>35.54</v>
          </cell>
          <cell r="I27">
            <v>347.85</v>
          </cell>
        </row>
        <row r="33">
          <cell r="G33">
            <v>59.71</v>
          </cell>
          <cell r="I33">
            <v>1756.4</v>
          </cell>
        </row>
        <row r="39">
          <cell r="G39">
            <v>71.08</v>
          </cell>
          <cell r="I39">
            <v>4961.7299999999996</v>
          </cell>
        </row>
        <row r="44">
          <cell r="G44">
            <v>3.96</v>
          </cell>
          <cell r="I44">
            <v>6082.45</v>
          </cell>
        </row>
        <row r="48">
          <cell r="G48">
            <v>1.7</v>
          </cell>
          <cell r="I48">
            <v>6308.87</v>
          </cell>
        </row>
        <row r="53">
          <cell r="G53">
            <v>0.16</v>
          </cell>
          <cell r="I53">
            <v>83314.02</v>
          </cell>
        </row>
        <row r="57">
          <cell r="G57">
            <v>0.28000000000000003</v>
          </cell>
          <cell r="I57">
            <v>82096.539999999994</v>
          </cell>
        </row>
        <row r="64">
          <cell r="G64">
            <v>44.14</v>
          </cell>
          <cell r="I64">
            <v>194.5</v>
          </cell>
        </row>
        <row r="66">
          <cell r="I66">
            <v>848.82</v>
          </cell>
        </row>
        <row r="67">
          <cell r="I67">
            <v>447.06</v>
          </cell>
        </row>
        <row r="68">
          <cell r="I68">
            <v>447.06</v>
          </cell>
        </row>
        <row r="69">
          <cell r="I69">
            <v>679.66</v>
          </cell>
        </row>
        <row r="70">
          <cell r="I70">
            <v>117.54</v>
          </cell>
        </row>
      </sheetData>
      <sheetData sheetId="1">
        <row r="3">
          <cell r="C3">
            <v>175.75</v>
          </cell>
        </row>
        <row r="4">
          <cell r="G4">
            <v>35.54</v>
          </cell>
        </row>
        <row r="5">
          <cell r="C5">
            <v>59.71</v>
          </cell>
        </row>
        <row r="10">
          <cell r="F10">
            <v>32.989999999999995</v>
          </cell>
          <cell r="H10">
            <v>66</v>
          </cell>
        </row>
      </sheetData>
      <sheetData sheetId="2"/>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ESTIMATE"/>
      <sheetName val="BOQ"/>
      <sheetName val="MATERIAL "/>
    </sheetNames>
    <sheetDataSet>
      <sheetData sheetId="0">
        <row r="5">
          <cell r="A5" t="str">
            <v>2       5.1.1.</v>
          </cell>
        </row>
        <row r="8">
          <cell r="G8">
            <v>75.900000000000006</v>
          </cell>
          <cell r="I8">
            <v>151.82</v>
          </cell>
        </row>
        <row r="9">
          <cell r="A9" t="str">
            <v>3.           M-004</v>
          </cell>
        </row>
        <row r="12">
          <cell r="G12">
            <v>28.32</v>
          </cell>
          <cell r="I12">
            <v>347.87</v>
          </cell>
        </row>
        <row r="13">
          <cell r="A13" t="str">
            <v>4.       5.6.8 (C.I.W.)</v>
          </cell>
        </row>
        <row r="16">
          <cell r="G16">
            <v>47.58</v>
          </cell>
          <cell r="I16">
            <v>1756.4</v>
          </cell>
        </row>
        <row r="17">
          <cell r="A17" t="str">
            <v>5.     5.3.1.1</v>
          </cell>
        </row>
        <row r="20">
          <cell r="G20">
            <v>56.64</v>
          </cell>
          <cell r="I20">
            <v>4961.7299999999996</v>
          </cell>
        </row>
        <row r="21">
          <cell r="A21" t="str">
            <v>6               5.3.17.1</v>
          </cell>
        </row>
        <row r="24">
          <cell r="G24">
            <v>37.17</v>
          </cell>
          <cell r="I24">
            <v>194.5</v>
          </cell>
        </row>
        <row r="25">
          <cell r="A25">
            <v>7</v>
          </cell>
        </row>
        <row r="26">
          <cell r="I26">
            <v>848.82</v>
          </cell>
        </row>
        <row r="27">
          <cell r="I27">
            <v>447.06</v>
          </cell>
        </row>
        <row r="28">
          <cell r="I28">
            <v>447.06</v>
          </cell>
        </row>
        <row r="29">
          <cell r="I29">
            <v>679.66</v>
          </cell>
        </row>
        <row r="30">
          <cell r="I30">
            <v>117.54</v>
          </cell>
        </row>
      </sheetData>
      <sheetData sheetId="1"/>
      <sheetData sheetId="2">
        <row r="7">
          <cell r="F7">
            <v>24.36</v>
          </cell>
          <cell r="G7">
            <v>28.32</v>
          </cell>
          <cell r="H7">
            <v>48.71</v>
          </cell>
          <cell r="I7">
            <v>47.58</v>
          </cell>
          <cell r="J7">
            <v>75.900000000000006</v>
          </cell>
        </row>
      </sheetData>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ESTIMATE"/>
      <sheetName val="BOQ"/>
      <sheetName val="MATERIAL "/>
    </sheetNames>
    <sheetDataSet>
      <sheetData sheetId="0">
        <row r="2">
          <cell r="A2" t="str">
            <v>Name of Work :-CONSTRUCTION OF PCC R0AD AT AT GIRZA TOLI DIBDHI JAYANTI STORE TO HOUSE OF BANDHAN JEE UNDER WARD NO-36</v>
          </cell>
        </row>
        <row r="4">
          <cell r="G4">
            <v>5</v>
          </cell>
          <cell r="I4">
            <v>326.85000000000002</v>
          </cell>
        </row>
        <row r="8">
          <cell r="G8">
            <v>77.8</v>
          </cell>
          <cell r="I8">
            <v>151.82</v>
          </cell>
        </row>
        <row r="12">
          <cell r="G12">
            <v>29.03</v>
          </cell>
          <cell r="I12">
            <v>347.85</v>
          </cell>
        </row>
        <row r="16">
          <cell r="G16">
            <v>48.77</v>
          </cell>
          <cell r="I16">
            <v>1756.4</v>
          </cell>
        </row>
        <row r="20">
          <cell r="G20">
            <v>58.06</v>
          </cell>
          <cell r="I20">
            <v>4961.7299999999996</v>
          </cell>
        </row>
        <row r="24">
          <cell r="G24">
            <v>38.1</v>
          </cell>
          <cell r="I24">
            <v>194.5</v>
          </cell>
        </row>
        <row r="26">
          <cell r="G26">
            <v>24.97</v>
          </cell>
          <cell r="I26">
            <v>848.82</v>
          </cell>
        </row>
        <row r="27">
          <cell r="G27">
            <v>29.03</v>
          </cell>
          <cell r="I27">
            <v>447.06</v>
          </cell>
        </row>
        <row r="28">
          <cell r="G28">
            <v>49.93</v>
          </cell>
          <cell r="I28">
            <v>447.06</v>
          </cell>
        </row>
        <row r="29">
          <cell r="G29">
            <v>48.77</v>
          </cell>
          <cell r="I29">
            <v>679.66</v>
          </cell>
        </row>
        <row r="30">
          <cell r="G30">
            <v>77.8</v>
          </cell>
          <cell r="I30">
            <v>117.54</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48"/>
  <sheetViews>
    <sheetView tabSelected="1" workbookViewId="0">
      <selection activeCell="A3" sqref="A3:F3"/>
    </sheetView>
  </sheetViews>
  <sheetFormatPr defaultRowHeight="18.75"/>
  <cols>
    <col min="1" max="1" width="5.3984375" customWidth="1"/>
    <col min="2" max="2" width="35.296875" customWidth="1"/>
    <col min="3" max="3" width="6" customWidth="1"/>
    <col min="4" max="4" width="3.59765625" bestFit="1" customWidth="1"/>
    <col min="5" max="5" width="7.19921875" customWidth="1"/>
    <col min="6" max="6" width="13.19921875" customWidth="1"/>
  </cols>
  <sheetData>
    <row r="1" spans="1:6" ht="34.5" customHeight="1">
      <c r="A1" s="218" t="s">
        <v>0</v>
      </c>
      <c r="B1" s="218"/>
      <c r="C1" s="218"/>
      <c r="D1" s="218"/>
      <c r="E1" s="218"/>
      <c r="F1" s="218"/>
    </row>
    <row r="2" spans="1:6" ht="18.75" customHeight="1">
      <c r="A2" s="219" t="s">
        <v>1</v>
      </c>
      <c r="B2" s="220"/>
      <c r="C2" s="220"/>
      <c r="D2" s="220"/>
      <c r="E2" s="220"/>
      <c r="F2" s="221"/>
    </row>
    <row r="3" spans="1:6" ht="38.25" customHeight="1">
      <c r="A3" s="222" t="s">
        <v>35</v>
      </c>
      <c r="B3" s="222"/>
      <c r="C3" s="222"/>
      <c r="D3" s="222"/>
      <c r="E3" s="222"/>
      <c r="F3" s="222"/>
    </row>
    <row r="4" spans="1:6" ht="21" customHeight="1">
      <c r="A4" s="1" t="s">
        <v>3</v>
      </c>
      <c r="B4" s="2" t="s">
        <v>4</v>
      </c>
      <c r="C4" s="2" t="s">
        <v>5</v>
      </c>
      <c r="D4" s="2" t="s">
        <v>6</v>
      </c>
      <c r="E4" s="1" t="s">
        <v>7</v>
      </c>
      <c r="F4" s="1" t="s">
        <v>8</v>
      </c>
    </row>
    <row r="5" spans="1:6" s="9" customFormat="1" ht="96.75" customHeight="1">
      <c r="A5" s="3" t="s">
        <v>9</v>
      </c>
      <c r="B5" s="4" t="s">
        <v>10</v>
      </c>
      <c r="C5" s="5">
        <v>122.62</v>
      </c>
      <c r="D5" s="6" t="s">
        <v>11</v>
      </c>
      <c r="E5" s="7">
        <v>151.82</v>
      </c>
      <c r="F5" s="8">
        <f>ROUND((C5*E5),2)</f>
        <v>18616.169999999998</v>
      </c>
    </row>
    <row r="6" spans="1:6" ht="98.25" customHeight="1">
      <c r="A6" s="10" t="s">
        <v>12</v>
      </c>
      <c r="B6" s="11" t="s">
        <v>13</v>
      </c>
      <c r="C6" s="12">
        <f>[1]SUMIT!G13</f>
        <v>51.656754460492785</v>
      </c>
      <c r="D6" s="6" t="s">
        <v>11</v>
      </c>
      <c r="E6" s="12">
        <v>589.51</v>
      </c>
      <c r="F6" s="8">
        <f t="shared" ref="F6:F15" si="0">ROUND((C6*E6),2)</f>
        <v>30452.17</v>
      </c>
    </row>
    <row r="7" spans="1:6" s="13" customFormat="1" ht="77.25" customHeight="1">
      <c r="A7" s="10" t="s">
        <v>14</v>
      </c>
      <c r="B7" s="11" t="s">
        <v>15</v>
      </c>
      <c r="C7" s="12">
        <f>[1]SUMIT!G18</f>
        <v>66.881903143585376</v>
      </c>
      <c r="D7" s="6" t="s">
        <v>11</v>
      </c>
      <c r="E7" s="12">
        <v>1756.4</v>
      </c>
      <c r="F7" s="8">
        <f t="shared" si="0"/>
        <v>117471.37</v>
      </c>
    </row>
    <row r="8" spans="1:6" s="13" customFormat="1" ht="74.25" customHeight="1">
      <c r="A8" s="14" t="s">
        <v>16</v>
      </c>
      <c r="B8" s="15" t="s">
        <v>17</v>
      </c>
      <c r="C8" s="12">
        <f>[1]SUMIT!G22</f>
        <v>67.969413763806287</v>
      </c>
      <c r="D8" s="6" t="s">
        <v>11</v>
      </c>
      <c r="E8" s="12">
        <v>4961.7299999999996</v>
      </c>
      <c r="F8" s="8">
        <f t="shared" si="0"/>
        <v>337245.88</v>
      </c>
    </row>
    <row r="9" spans="1:6" s="13" customFormat="1" ht="71.25" customHeight="1">
      <c r="A9" s="10" t="s">
        <v>18</v>
      </c>
      <c r="B9" s="11" t="s">
        <v>19</v>
      </c>
      <c r="C9" s="16">
        <f>[1]SUMIT!G26</f>
        <v>44.609665427509292</v>
      </c>
      <c r="D9" s="17" t="s">
        <v>20</v>
      </c>
      <c r="E9" s="18">
        <v>194.5</v>
      </c>
      <c r="F9" s="8">
        <f t="shared" si="0"/>
        <v>8676.58</v>
      </c>
    </row>
    <row r="10" spans="1:6" s="13" customFormat="1" ht="36.75" customHeight="1">
      <c r="A10" s="19">
        <v>6</v>
      </c>
      <c r="B10" s="20" t="s">
        <v>21</v>
      </c>
      <c r="C10" s="21"/>
      <c r="D10" s="21"/>
      <c r="E10" s="21"/>
      <c r="F10" s="8"/>
    </row>
    <row r="11" spans="1:6" s="13" customFormat="1" ht="31.5" customHeight="1">
      <c r="A11" s="22" t="s">
        <v>22</v>
      </c>
      <c r="B11" s="23" t="s">
        <v>23</v>
      </c>
      <c r="C11" s="12">
        <f>[1]SUMIT!G28</f>
        <v>29.226847918436704</v>
      </c>
      <c r="D11" s="12" t="s">
        <v>11</v>
      </c>
      <c r="E11" s="18">
        <f>'[2]RCC DRAIN'!I37</f>
        <v>848.82</v>
      </c>
      <c r="F11" s="8">
        <f t="shared" si="0"/>
        <v>24808.33</v>
      </c>
    </row>
    <row r="12" spans="1:6" s="13" customFormat="1" ht="30" customHeight="1">
      <c r="A12" s="22" t="s">
        <v>24</v>
      </c>
      <c r="B12" s="23" t="s">
        <v>25</v>
      </c>
      <c r="C12" s="12">
        <f>[1]SUMIT!G29</f>
        <v>51.656754460492785</v>
      </c>
      <c r="D12" s="12" t="s">
        <v>11</v>
      </c>
      <c r="E12" s="18">
        <f>'[2]RCC DRAIN'!I38</f>
        <v>313.14</v>
      </c>
      <c r="F12" s="8">
        <f t="shared" si="0"/>
        <v>16175.8</v>
      </c>
    </row>
    <row r="13" spans="1:6" s="13" customFormat="1" ht="27.75" customHeight="1">
      <c r="A13" s="22" t="s">
        <v>26</v>
      </c>
      <c r="B13" s="24" t="s">
        <v>27</v>
      </c>
      <c r="C13" s="12">
        <f>[1]SUMIT!G30</f>
        <v>58.453695836873408</v>
      </c>
      <c r="D13" s="12" t="s">
        <v>11</v>
      </c>
      <c r="E13" s="18">
        <f>'[2]RCC DRAIN'!I39</f>
        <v>447.06</v>
      </c>
      <c r="F13" s="8">
        <f t="shared" si="0"/>
        <v>26132.31</v>
      </c>
    </row>
    <row r="14" spans="1:6" s="13" customFormat="1" ht="30" customHeight="1">
      <c r="A14" s="22" t="s">
        <v>28</v>
      </c>
      <c r="B14" s="24" t="s">
        <v>29</v>
      </c>
      <c r="C14" s="12">
        <f>[1]SUMIT!G31</f>
        <v>66.881903143585376</v>
      </c>
      <c r="D14" s="12" t="s">
        <v>11</v>
      </c>
      <c r="E14" s="18">
        <f>'[2]RCC DRAIN'!I40</f>
        <v>679.66</v>
      </c>
      <c r="F14" s="8">
        <f t="shared" si="0"/>
        <v>45456.95</v>
      </c>
    </row>
    <row r="15" spans="1:6" s="13" customFormat="1" ht="29.25" customHeight="1">
      <c r="A15" s="22" t="s">
        <v>30</v>
      </c>
      <c r="B15" s="24" t="s">
        <v>31</v>
      </c>
      <c r="C15" s="12">
        <f>[1]SUMIT!G32</f>
        <v>122.61682242990655</v>
      </c>
      <c r="D15" s="12" t="s">
        <v>11</v>
      </c>
      <c r="E15" s="18">
        <f>'[2]RCC DRAIN'!I41</f>
        <v>117.54</v>
      </c>
      <c r="F15" s="8">
        <f t="shared" si="0"/>
        <v>14412.38</v>
      </c>
    </row>
    <row r="16" spans="1:6" s="13" customFormat="1" ht="28.5" customHeight="1">
      <c r="A16" s="25"/>
      <c r="B16" s="26"/>
      <c r="C16" s="27"/>
      <c r="D16" s="28"/>
      <c r="E16" s="28" t="s">
        <v>32</v>
      </c>
      <c r="F16" s="29">
        <f>SUM(F5:F15)</f>
        <v>639447.94000000006</v>
      </c>
    </row>
    <row r="17" spans="1:6" s="13" customFormat="1" ht="28.5" customHeight="1">
      <c r="A17" s="30"/>
      <c r="B17" s="31"/>
      <c r="C17" s="28"/>
      <c r="D17" s="27"/>
      <c r="E17" s="28" t="s">
        <v>33</v>
      </c>
      <c r="F17" s="29">
        <f>F16*18/100</f>
        <v>115100.62920000002</v>
      </c>
    </row>
    <row r="18" spans="1:6" s="13" customFormat="1" ht="27" customHeight="1">
      <c r="A18" s="30"/>
      <c r="B18" s="31"/>
      <c r="C18" s="28"/>
      <c r="D18" s="28"/>
      <c r="E18" s="28"/>
      <c r="F18" s="29">
        <f>F16+F17</f>
        <v>754548.56920000003</v>
      </c>
    </row>
    <row r="19" spans="1:6" s="13" customFormat="1" ht="29.25" customHeight="1">
      <c r="A19" s="30"/>
      <c r="B19" s="31"/>
      <c r="C19" s="32"/>
      <c r="D19" s="28"/>
      <c r="E19" s="28" t="s">
        <v>34</v>
      </c>
      <c r="F19" s="29">
        <f>F18*1/100</f>
        <v>7545.4856920000002</v>
      </c>
    </row>
    <row r="20" spans="1:6" s="13" customFormat="1" ht="31.5" customHeight="1">
      <c r="A20" s="30"/>
      <c r="B20" s="31"/>
      <c r="C20" s="32"/>
      <c r="D20" s="28"/>
      <c r="E20" s="28" t="s">
        <v>32</v>
      </c>
      <c r="F20" s="33">
        <f>F18+F19</f>
        <v>762094.05489200004</v>
      </c>
    </row>
    <row r="21" spans="1:6" s="13" customFormat="1" ht="15">
      <c r="C21" s="34"/>
      <c r="D21" s="34"/>
      <c r="E21" s="34"/>
      <c r="F21" s="34"/>
    </row>
    <row r="22" spans="1:6" s="13" customFormat="1" ht="15">
      <c r="C22" s="34"/>
      <c r="D22" s="34"/>
      <c r="E22" s="34"/>
      <c r="F22" s="34"/>
    </row>
    <row r="23" spans="1:6" s="13" customFormat="1" ht="15">
      <c r="C23" s="34"/>
      <c r="D23" s="34"/>
      <c r="E23" s="34"/>
      <c r="F23" s="34"/>
    </row>
    <row r="24" spans="1:6" s="13" customFormat="1" ht="15">
      <c r="C24" s="34"/>
      <c r="D24" s="34"/>
      <c r="E24" s="34"/>
      <c r="F24" s="34"/>
    </row>
    <row r="25" spans="1:6" s="13" customFormat="1" ht="15">
      <c r="C25" s="34"/>
      <c r="D25" s="34"/>
      <c r="E25" s="34"/>
      <c r="F25" s="34"/>
    </row>
    <row r="26" spans="1:6" s="13" customFormat="1" ht="15">
      <c r="C26" s="34"/>
      <c r="D26" s="34"/>
      <c r="E26" s="34"/>
      <c r="F26" s="34"/>
    </row>
    <row r="27" spans="1:6" s="13" customFormat="1" ht="15">
      <c r="C27" s="34"/>
      <c r="D27" s="34"/>
      <c r="E27" s="34"/>
      <c r="F27" s="34"/>
    </row>
    <row r="28" spans="1:6" s="13" customFormat="1" ht="15">
      <c r="C28" s="34"/>
      <c r="D28" s="34"/>
      <c r="E28" s="34"/>
      <c r="F28" s="34"/>
    </row>
    <row r="29" spans="1:6" s="13" customFormat="1" ht="15">
      <c r="C29" s="34"/>
      <c r="D29" s="34"/>
      <c r="E29" s="34"/>
      <c r="F29" s="34"/>
    </row>
    <row r="30" spans="1:6" s="13" customFormat="1" ht="15">
      <c r="C30" s="34"/>
      <c r="D30" s="34"/>
      <c r="E30" s="34"/>
      <c r="F30" s="34"/>
    </row>
    <row r="31" spans="1:6" s="13" customFormat="1" ht="15">
      <c r="C31" s="34"/>
      <c r="D31" s="34"/>
      <c r="E31" s="34"/>
      <c r="F31" s="34"/>
    </row>
    <row r="32" spans="1:6" s="13" customFormat="1" ht="15">
      <c r="C32" s="34"/>
      <c r="D32" s="34"/>
      <c r="E32" s="34"/>
      <c r="F32" s="34"/>
    </row>
    <row r="33" spans="1:6" s="13" customFormat="1" ht="15">
      <c r="C33" s="34"/>
      <c r="D33" s="34"/>
      <c r="E33" s="34"/>
      <c r="F33" s="34"/>
    </row>
    <row r="34" spans="1:6" s="13" customFormat="1" ht="15">
      <c r="C34" s="34"/>
      <c r="D34" s="34"/>
      <c r="E34" s="34"/>
      <c r="F34" s="34"/>
    </row>
    <row r="35" spans="1:6" s="13" customFormat="1" ht="15">
      <c r="C35" s="34"/>
      <c r="D35" s="34"/>
      <c r="E35" s="34"/>
      <c r="F35" s="34"/>
    </row>
    <row r="36" spans="1:6" s="13" customFormat="1" ht="15">
      <c r="C36" s="34"/>
      <c r="D36" s="34"/>
      <c r="E36" s="34"/>
      <c r="F36" s="34"/>
    </row>
    <row r="37" spans="1:6" s="13" customFormat="1" ht="15">
      <c r="C37" s="34"/>
      <c r="D37" s="34"/>
      <c r="E37" s="34"/>
      <c r="F37" s="34"/>
    </row>
    <row r="38" spans="1:6" s="13" customFormat="1">
      <c r="A38"/>
      <c r="B38"/>
      <c r="C38" s="35"/>
      <c r="D38" s="35"/>
      <c r="E38" s="35"/>
      <c r="F38" s="35"/>
    </row>
    <row r="39" spans="1:6">
      <c r="C39" s="35"/>
      <c r="D39" s="35"/>
      <c r="E39" s="35"/>
      <c r="F39" s="35"/>
    </row>
    <row r="40" spans="1:6">
      <c r="C40" s="35"/>
      <c r="D40" s="35"/>
      <c r="E40" s="35"/>
      <c r="F40" s="35"/>
    </row>
    <row r="41" spans="1:6">
      <c r="C41" s="35"/>
      <c r="D41" s="35"/>
      <c r="E41" s="35"/>
      <c r="F41" s="35"/>
    </row>
    <row r="42" spans="1:6">
      <c r="C42" s="35"/>
      <c r="D42" s="35"/>
      <c r="E42" s="35"/>
      <c r="F42" s="35"/>
    </row>
    <row r="43" spans="1:6">
      <c r="C43" s="35"/>
      <c r="D43" s="35"/>
      <c r="E43" s="35"/>
      <c r="F43" s="35"/>
    </row>
    <row r="44" spans="1:6">
      <c r="C44" s="35"/>
      <c r="D44" s="35"/>
      <c r="E44" s="35"/>
      <c r="F44" s="35"/>
    </row>
    <row r="45" spans="1:6">
      <c r="C45" s="35"/>
      <c r="D45" s="35"/>
      <c r="E45" s="35"/>
      <c r="F45" s="35"/>
    </row>
    <row r="46" spans="1:6">
      <c r="C46" s="35"/>
      <c r="D46" s="35"/>
      <c r="E46" s="35"/>
      <c r="F46" s="35"/>
    </row>
    <row r="47" spans="1:6">
      <c r="C47" s="35"/>
      <c r="D47" s="35"/>
      <c r="E47" s="35"/>
      <c r="F47" s="35"/>
    </row>
    <row r="48" spans="1:6">
      <c r="C48" s="35"/>
      <c r="D48" s="35"/>
      <c r="E48" s="35"/>
      <c r="F48" s="35"/>
    </row>
  </sheetData>
  <mergeCells count="3">
    <mergeCell ref="A1:F1"/>
    <mergeCell ref="A2:F2"/>
    <mergeCell ref="A3:F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sheetPr>
    <tabColor rgb="FFFF0000"/>
  </sheetPr>
  <dimension ref="A1"/>
  <sheetViews>
    <sheetView zoomScale="85" zoomScaleNormal="85" workbookViewId="0">
      <selection activeCell="H4" sqref="H4"/>
    </sheetView>
  </sheetViews>
  <sheetFormatPr defaultRowHeight="63.75" customHeight="1"/>
  <cols>
    <col min="1" max="16384" width="8.796875" style="9"/>
  </cols>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F28"/>
  <sheetViews>
    <sheetView workbookViewId="0">
      <selection activeCell="A3" sqref="A3:F3"/>
    </sheetView>
  </sheetViews>
  <sheetFormatPr defaultRowHeight="18.75"/>
  <cols>
    <col min="2" max="2" width="36" customWidth="1"/>
    <col min="6" max="6" width="12.19921875" customWidth="1"/>
  </cols>
  <sheetData>
    <row r="1" spans="1:6" ht="25.5">
      <c r="A1" s="268" t="s">
        <v>50</v>
      </c>
      <c r="B1" s="269"/>
      <c r="C1" s="269"/>
      <c r="D1" s="269"/>
      <c r="E1" s="269"/>
      <c r="F1" s="270"/>
    </row>
    <row r="2" spans="1:6" ht="18" customHeight="1">
      <c r="A2" s="271" t="s">
        <v>51</v>
      </c>
      <c r="B2" s="228"/>
      <c r="C2" s="228"/>
      <c r="D2" s="228"/>
      <c r="E2" s="228"/>
      <c r="F2" s="229"/>
    </row>
    <row r="3" spans="1:6" ht="44.25" customHeight="1">
      <c r="A3" s="272" t="s">
        <v>160</v>
      </c>
      <c r="B3" s="273"/>
      <c r="C3" s="273"/>
      <c r="D3" s="273"/>
      <c r="E3" s="273"/>
      <c r="F3" s="274"/>
    </row>
    <row r="4" spans="1:6" ht="31.5">
      <c r="A4" s="161" t="s">
        <v>52</v>
      </c>
      <c r="B4" s="162" t="s">
        <v>39</v>
      </c>
      <c r="C4" s="162" t="s">
        <v>5</v>
      </c>
      <c r="D4" s="162" t="s">
        <v>6</v>
      </c>
      <c r="E4" s="161" t="s">
        <v>53</v>
      </c>
      <c r="F4" s="161" t="s">
        <v>54</v>
      </c>
    </row>
    <row r="5" spans="1:6" ht="33" customHeight="1">
      <c r="A5" s="161">
        <v>1</v>
      </c>
      <c r="B5" s="163" t="s">
        <v>42</v>
      </c>
      <c r="C5" s="162">
        <v>2</v>
      </c>
      <c r="D5" s="162" t="s">
        <v>161</v>
      </c>
      <c r="E5" s="161">
        <v>326.85000000000002</v>
      </c>
      <c r="F5" s="164">
        <f t="shared" ref="F5:F10" si="0">ROUND(C5*E5,2)</f>
        <v>653.70000000000005</v>
      </c>
    </row>
    <row r="6" spans="1:6" ht="106.5" customHeight="1">
      <c r="A6" s="161" t="str">
        <f>[8]ESTIMATE!A5</f>
        <v>2       5.1.1.</v>
      </c>
      <c r="B6" s="165" t="s">
        <v>162</v>
      </c>
      <c r="C6" s="166">
        <f>[8]ESTIMATE!G8</f>
        <v>75.900000000000006</v>
      </c>
      <c r="D6" s="167" t="s">
        <v>11</v>
      </c>
      <c r="E6" s="166">
        <f>[8]ESTIMATE!I8</f>
        <v>151.82</v>
      </c>
      <c r="F6" s="166">
        <f t="shared" si="0"/>
        <v>11523.14</v>
      </c>
    </row>
    <row r="7" spans="1:6" ht="110.25">
      <c r="A7" s="161" t="str">
        <f>[8]ESTIMATE!A9</f>
        <v>3.           M-004</v>
      </c>
      <c r="B7" s="165" t="s">
        <v>13</v>
      </c>
      <c r="C7" s="166">
        <f>[8]ESTIMATE!G12</f>
        <v>28.32</v>
      </c>
      <c r="D7" s="167" t="s">
        <v>11</v>
      </c>
      <c r="E7" s="166">
        <f>[8]ESTIMATE!I12</f>
        <v>347.87</v>
      </c>
      <c r="F7" s="166">
        <f t="shared" si="0"/>
        <v>9851.68</v>
      </c>
    </row>
    <row r="8" spans="1:6" ht="78.75">
      <c r="A8" s="161" t="str">
        <f>[8]ESTIMATE!A13</f>
        <v>4.       5.6.8 (C.I.W.)</v>
      </c>
      <c r="B8" s="165" t="s">
        <v>15</v>
      </c>
      <c r="C8" s="166">
        <f>[8]ESTIMATE!G16</f>
        <v>47.58</v>
      </c>
      <c r="D8" s="167" t="s">
        <v>11</v>
      </c>
      <c r="E8" s="166">
        <f>[8]ESTIMATE!I16</f>
        <v>1756.4</v>
      </c>
      <c r="F8" s="166">
        <f t="shared" si="0"/>
        <v>83569.509999999995</v>
      </c>
    </row>
    <row r="9" spans="1:6" ht="65.099999999999994" customHeight="1">
      <c r="A9" s="161" t="str">
        <f>[8]ESTIMATE!A17</f>
        <v>5.     5.3.1.1</v>
      </c>
      <c r="B9" s="168" t="s">
        <v>44</v>
      </c>
      <c r="C9" s="166">
        <f>[8]ESTIMATE!G20</f>
        <v>56.64</v>
      </c>
      <c r="D9" s="167" t="s">
        <v>11</v>
      </c>
      <c r="E9" s="166">
        <f>[8]ESTIMATE!I20</f>
        <v>4961.7299999999996</v>
      </c>
      <c r="F9" s="166">
        <f t="shared" si="0"/>
        <v>281032.39</v>
      </c>
    </row>
    <row r="10" spans="1:6" ht="49.5" customHeight="1">
      <c r="A10" s="161" t="str">
        <f>[8]ESTIMATE!A21</f>
        <v>6               5.3.17.1</v>
      </c>
      <c r="B10" s="165" t="s">
        <v>19</v>
      </c>
      <c r="C10" s="166">
        <f>[8]ESTIMATE!G24</f>
        <v>37.17</v>
      </c>
      <c r="D10" s="169" t="s">
        <v>20</v>
      </c>
      <c r="E10" s="161">
        <f>[8]ESTIMATE!I24</f>
        <v>194.5</v>
      </c>
      <c r="F10" s="170">
        <f t="shared" si="0"/>
        <v>7229.57</v>
      </c>
    </row>
    <row r="11" spans="1:6">
      <c r="A11" s="161">
        <f>[8]ESTIMATE!A25</f>
        <v>7</v>
      </c>
      <c r="B11" s="171" t="s">
        <v>21</v>
      </c>
      <c r="C11" s="167"/>
      <c r="D11" s="172"/>
      <c r="E11" s="173"/>
      <c r="F11" s="166"/>
    </row>
    <row r="12" spans="1:6">
      <c r="A12" s="174" t="s">
        <v>22</v>
      </c>
      <c r="B12" s="175" t="s">
        <v>145</v>
      </c>
      <c r="C12" s="167">
        <f>PRODUCT('[8]MATERIAL '!F7)</f>
        <v>24.36</v>
      </c>
      <c r="D12" s="172" t="s">
        <v>11</v>
      </c>
      <c r="E12" s="39">
        <f>[8]ESTIMATE!I26</f>
        <v>848.82</v>
      </c>
      <c r="F12" s="166">
        <f t="shared" ref="F12:F16" si="1">ROUND(C12*E12,2)</f>
        <v>20677.259999999998</v>
      </c>
    </row>
    <row r="13" spans="1:6">
      <c r="A13" s="174" t="s">
        <v>24</v>
      </c>
      <c r="B13" s="175" t="s">
        <v>163</v>
      </c>
      <c r="C13" s="167">
        <f>PRODUCT('[8]MATERIAL '!G7)</f>
        <v>28.32</v>
      </c>
      <c r="D13" s="172" t="s">
        <v>11</v>
      </c>
      <c r="E13" s="176">
        <f>[8]ESTIMATE!I27</f>
        <v>447.06</v>
      </c>
      <c r="F13" s="166">
        <f t="shared" si="1"/>
        <v>12660.74</v>
      </c>
    </row>
    <row r="14" spans="1:6">
      <c r="A14" s="174" t="s">
        <v>26</v>
      </c>
      <c r="B14" s="177" t="s">
        <v>164</v>
      </c>
      <c r="C14" s="167">
        <f>PRODUCT('[8]MATERIAL '!H7)</f>
        <v>48.71</v>
      </c>
      <c r="D14" s="172" t="s">
        <v>11</v>
      </c>
      <c r="E14" s="176">
        <f>[8]ESTIMATE!I28</f>
        <v>447.06</v>
      </c>
      <c r="F14" s="166">
        <f t="shared" si="1"/>
        <v>21776.29</v>
      </c>
    </row>
    <row r="15" spans="1:6">
      <c r="A15" s="174" t="s">
        <v>28</v>
      </c>
      <c r="B15" s="177" t="s">
        <v>165</v>
      </c>
      <c r="C15" s="167">
        <f>PRODUCT('[8]MATERIAL '!I7)</f>
        <v>47.58</v>
      </c>
      <c r="D15" s="172" t="s">
        <v>11</v>
      </c>
      <c r="E15" s="39">
        <f>[8]ESTIMATE!I29</f>
        <v>679.66</v>
      </c>
      <c r="F15" s="166">
        <f t="shared" si="1"/>
        <v>32338.22</v>
      </c>
    </row>
    <row r="16" spans="1:6">
      <c r="A16" s="174" t="s">
        <v>30</v>
      </c>
      <c r="B16" s="165" t="s">
        <v>157</v>
      </c>
      <c r="C16" s="167">
        <f>PRODUCT('[8]MATERIAL '!J7)</f>
        <v>75.900000000000006</v>
      </c>
      <c r="D16" s="172" t="s">
        <v>11</v>
      </c>
      <c r="E16" s="176">
        <f>[8]ESTIMATE!I30</f>
        <v>117.54</v>
      </c>
      <c r="F16" s="166">
        <f t="shared" si="1"/>
        <v>8921.2900000000009</v>
      </c>
    </row>
    <row r="17" spans="1:6">
      <c r="A17" s="178"/>
      <c r="B17" s="178"/>
      <c r="C17" s="266" t="s">
        <v>46</v>
      </c>
      <c r="D17" s="266"/>
      <c r="E17" s="267"/>
      <c r="F17" s="166">
        <f>SUM(F5:F16)</f>
        <v>490233.79</v>
      </c>
    </row>
    <row r="18" spans="1:6">
      <c r="A18" s="178"/>
      <c r="B18" s="178"/>
      <c r="C18" s="275" t="s">
        <v>47</v>
      </c>
      <c r="D18" s="266"/>
      <c r="E18" s="267"/>
      <c r="F18" s="166">
        <f>F17*18%</f>
        <v>88242.08219999999</v>
      </c>
    </row>
    <row r="19" spans="1:6">
      <c r="A19" s="178"/>
      <c r="B19" s="178"/>
      <c r="C19" s="275" t="s">
        <v>46</v>
      </c>
      <c r="D19" s="266"/>
      <c r="E19" s="267"/>
      <c r="F19" s="166">
        <f>SUM(F17:F18)</f>
        <v>578475.87219999998</v>
      </c>
    </row>
    <row r="20" spans="1:6">
      <c r="A20" s="178"/>
      <c r="B20" s="178"/>
      <c r="C20" s="266" t="s">
        <v>166</v>
      </c>
      <c r="D20" s="266"/>
      <c r="E20" s="267"/>
      <c r="F20" s="166">
        <f>ROUND(F19*0.01,2)</f>
        <v>5784.76</v>
      </c>
    </row>
    <row r="21" spans="1:6">
      <c r="A21" s="178"/>
      <c r="B21" s="178"/>
      <c r="C21" s="266" t="s">
        <v>46</v>
      </c>
      <c r="D21" s="266"/>
      <c r="E21" s="267"/>
      <c r="F21" s="179">
        <f>F19+F20</f>
        <v>584260.63219999999</v>
      </c>
    </row>
    <row r="22" spans="1:6">
      <c r="A22" s="178"/>
      <c r="B22" s="178"/>
      <c r="C22" s="266" t="s">
        <v>49</v>
      </c>
      <c r="D22" s="266"/>
      <c r="E22" s="267"/>
      <c r="F22" s="180">
        <v>584260</v>
      </c>
    </row>
    <row r="23" spans="1:6">
      <c r="A23" s="181"/>
      <c r="B23" s="181"/>
      <c r="C23" s="182"/>
      <c r="D23" s="182"/>
      <c r="E23" s="182"/>
      <c r="F23" s="183"/>
    </row>
    <row r="24" spans="1:6" ht="15.75" customHeight="1">
      <c r="A24" s="181"/>
      <c r="B24" s="181"/>
      <c r="C24" s="182"/>
      <c r="D24" s="182"/>
      <c r="E24" s="182"/>
      <c r="F24" s="183"/>
    </row>
    <row r="25" spans="1:6" hidden="1">
      <c r="A25" s="184"/>
    </row>
    <row r="26" spans="1:6" ht="38.25" customHeight="1">
      <c r="A26" s="184"/>
    </row>
    <row r="27" spans="1:6">
      <c r="A27" s="184"/>
      <c r="B27" s="185"/>
      <c r="C27" s="186"/>
      <c r="F27" s="187" t="s">
        <v>62</v>
      </c>
    </row>
    <row r="28" spans="1:6">
      <c r="A28" s="184"/>
      <c r="B28" s="185"/>
      <c r="C28" s="186"/>
      <c r="F28" s="187" t="s">
        <v>63</v>
      </c>
    </row>
  </sheetData>
  <mergeCells count="9">
    <mergeCell ref="C20:E20"/>
    <mergeCell ref="C21:E21"/>
    <mergeCell ref="C22:E22"/>
    <mergeCell ref="A1:F1"/>
    <mergeCell ref="A2:F2"/>
    <mergeCell ref="A3:F3"/>
    <mergeCell ref="C17:E17"/>
    <mergeCell ref="C18:E18"/>
    <mergeCell ref="C19:E19"/>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RowHeight="18.75"/>
  <cols>
    <col min="2" max="2" width="36" customWidth="1"/>
    <col min="3" max="3" width="8.796875" style="195"/>
    <col min="5" max="5" width="8.09765625" customWidth="1"/>
    <col min="6" max="6" width="10.69921875" bestFit="1" customWidth="1"/>
  </cols>
  <sheetData>
    <row r="1" spans="1:6" ht="20.25">
      <c r="A1" s="271" t="s">
        <v>50</v>
      </c>
      <c r="B1" s="228"/>
      <c r="C1" s="228"/>
      <c r="D1" s="228"/>
      <c r="E1" s="228"/>
      <c r="F1" s="229"/>
    </row>
    <row r="2" spans="1:6" ht="18" customHeight="1">
      <c r="A2" s="219" t="s">
        <v>51</v>
      </c>
      <c r="B2" s="220"/>
      <c r="C2" s="220"/>
      <c r="D2" s="220"/>
      <c r="E2" s="220"/>
      <c r="F2" s="221"/>
    </row>
    <row r="3" spans="1:6" ht="39.6" customHeight="1">
      <c r="A3" s="277" t="str">
        <f>[9]ESTIMATE!A2</f>
        <v>Name of Work :-CONSTRUCTION OF PCC R0AD AT AT GIRZA TOLI DIBDHI JAYANTI STORE TO HOUSE OF BANDHAN JEE UNDER WARD NO-36</v>
      </c>
      <c r="B3" s="278"/>
      <c r="C3" s="278"/>
      <c r="D3" s="278"/>
      <c r="E3" s="278"/>
      <c r="F3" s="279"/>
    </row>
    <row r="4" spans="1:6" ht="32.450000000000003" customHeight="1">
      <c r="A4" s="39" t="s">
        <v>52</v>
      </c>
      <c r="B4" s="69" t="s">
        <v>173</v>
      </c>
      <c r="C4" s="69" t="s">
        <v>5</v>
      </c>
      <c r="D4" s="69" t="s">
        <v>6</v>
      </c>
      <c r="E4" s="39" t="s">
        <v>53</v>
      </c>
      <c r="F4" s="164" t="s">
        <v>54</v>
      </c>
    </row>
    <row r="5" spans="1:6" ht="28.5">
      <c r="A5" s="39">
        <v>1</v>
      </c>
      <c r="B5" s="163" t="s">
        <v>42</v>
      </c>
      <c r="C5" s="176">
        <f>[9]ESTIMATE!G4</f>
        <v>5</v>
      </c>
      <c r="D5" s="188" t="s">
        <v>174</v>
      </c>
      <c r="E5" s="189">
        <f>[9]ESTIMATE!I4</f>
        <v>326.85000000000002</v>
      </c>
      <c r="F5" s="164">
        <f t="shared" ref="F5:F10" si="0">ROUND(C5*E5,2)</f>
        <v>1634.25</v>
      </c>
    </row>
    <row r="6" spans="1:6" ht="99.75">
      <c r="A6" s="39" t="s">
        <v>175</v>
      </c>
      <c r="B6" s="71" t="s">
        <v>162</v>
      </c>
      <c r="C6" s="72">
        <f>[9]ESTIMATE!G8</f>
        <v>77.8</v>
      </c>
      <c r="D6" s="73" t="s">
        <v>11</v>
      </c>
      <c r="E6" s="190">
        <f>[9]ESTIMATE!I8</f>
        <v>151.82</v>
      </c>
      <c r="F6" s="191">
        <f t="shared" si="0"/>
        <v>11811.6</v>
      </c>
    </row>
    <row r="7" spans="1:6" ht="114">
      <c r="A7" s="39" t="s">
        <v>176</v>
      </c>
      <c r="B7" s="71" t="s">
        <v>177</v>
      </c>
      <c r="C7" s="72">
        <f>[9]ESTIMATE!G12</f>
        <v>29.03</v>
      </c>
      <c r="D7" s="73" t="s">
        <v>11</v>
      </c>
      <c r="E7" s="190">
        <f>[9]ESTIMATE!I12</f>
        <v>347.85</v>
      </c>
      <c r="F7" s="191">
        <f t="shared" si="0"/>
        <v>10098.09</v>
      </c>
    </row>
    <row r="8" spans="1:6" ht="71.25">
      <c r="A8" s="39" t="s">
        <v>178</v>
      </c>
      <c r="B8" s="71" t="s">
        <v>15</v>
      </c>
      <c r="C8" s="72">
        <f>[9]ESTIMATE!G16</f>
        <v>48.77</v>
      </c>
      <c r="D8" s="73" t="s">
        <v>11</v>
      </c>
      <c r="E8" s="190">
        <f>[9]ESTIMATE!I16</f>
        <v>1756.4</v>
      </c>
      <c r="F8" s="191">
        <f t="shared" si="0"/>
        <v>85659.63</v>
      </c>
    </row>
    <row r="9" spans="1:6" ht="71.25">
      <c r="A9" s="39" t="s">
        <v>179</v>
      </c>
      <c r="B9" s="74" t="s">
        <v>180</v>
      </c>
      <c r="C9" s="72">
        <f>[9]ESTIMATE!G20</f>
        <v>58.06</v>
      </c>
      <c r="D9" s="73" t="s">
        <v>11</v>
      </c>
      <c r="E9" s="72">
        <f>[9]ESTIMATE!I20</f>
        <v>4961.7299999999996</v>
      </c>
      <c r="F9" s="191">
        <f t="shared" si="0"/>
        <v>288078.03999999998</v>
      </c>
    </row>
    <row r="10" spans="1:6" ht="42.75">
      <c r="A10" s="39" t="s">
        <v>181</v>
      </c>
      <c r="B10" s="71" t="s">
        <v>182</v>
      </c>
      <c r="C10" s="72">
        <f>[9]ESTIMATE!G24</f>
        <v>38.1</v>
      </c>
      <c r="D10" s="75" t="s">
        <v>20</v>
      </c>
      <c r="E10" s="176">
        <f>[9]ESTIMATE!I24</f>
        <v>194.5</v>
      </c>
      <c r="F10" s="164">
        <f t="shared" si="0"/>
        <v>7410.45</v>
      </c>
    </row>
    <row r="11" spans="1:6">
      <c r="A11" s="39">
        <v>7</v>
      </c>
      <c r="B11" s="192" t="s">
        <v>21</v>
      </c>
      <c r="C11" s="72"/>
      <c r="D11" s="77"/>
      <c r="E11" s="193"/>
      <c r="F11" s="191"/>
    </row>
    <row r="12" spans="1:6">
      <c r="A12" s="79" t="s">
        <v>22</v>
      </c>
      <c r="B12" s="80" t="s">
        <v>23</v>
      </c>
      <c r="C12" s="72">
        <f>[9]ESTIMATE!G26</f>
        <v>24.97</v>
      </c>
      <c r="D12" s="77" t="s">
        <v>11</v>
      </c>
      <c r="E12" s="189">
        <f>[9]ESTIMATE!I26</f>
        <v>848.82</v>
      </c>
      <c r="F12" s="191">
        <f t="shared" ref="F12:F16" si="1">ROUND(C12*E12,2)</f>
        <v>21195.040000000001</v>
      </c>
    </row>
    <row r="13" spans="1:6">
      <c r="A13" s="79" t="s">
        <v>24</v>
      </c>
      <c r="B13" s="81" t="s">
        <v>183</v>
      </c>
      <c r="C13" s="72">
        <f>[9]ESTIMATE!G27</f>
        <v>29.03</v>
      </c>
      <c r="D13" s="77" t="s">
        <v>11</v>
      </c>
      <c r="E13" s="189">
        <f>[9]ESTIMATE!I27</f>
        <v>447.06</v>
      </c>
      <c r="F13" s="191">
        <f t="shared" si="1"/>
        <v>12978.15</v>
      </c>
    </row>
    <row r="14" spans="1:6">
      <c r="A14" s="79" t="s">
        <v>26</v>
      </c>
      <c r="B14" s="81" t="s">
        <v>27</v>
      </c>
      <c r="C14" s="72">
        <f>[9]ESTIMATE!G28</f>
        <v>49.93</v>
      </c>
      <c r="D14" s="77" t="s">
        <v>11</v>
      </c>
      <c r="E14" s="189">
        <f>[9]ESTIMATE!I28</f>
        <v>447.06</v>
      </c>
      <c r="F14" s="191">
        <f t="shared" si="1"/>
        <v>22321.71</v>
      </c>
    </row>
    <row r="15" spans="1:6">
      <c r="A15" s="79" t="s">
        <v>28</v>
      </c>
      <c r="B15" s="81" t="s">
        <v>29</v>
      </c>
      <c r="C15" s="72">
        <f>[9]ESTIMATE!G29</f>
        <v>48.77</v>
      </c>
      <c r="D15" s="77" t="s">
        <v>11</v>
      </c>
      <c r="E15" s="189">
        <f>[9]ESTIMATE!I29</f>
        <v>679.66</v>
      </c>
      <c r="F15" s="191">
        <f t="shared" si="1"/>
        <v>33147.019999999997</v>
      </c>
    </row>
    <row r="16" spans="1:6">
      <c r="A16" s="79" t="s">
        <v>30</v>
      </c>
      <c r="B16" s="71" t="s">
        <v>184</v>
      </c>
      <c r="C16" s="72">
        <f>[9]ESTIMATE!G30</f>
        <v>77.8</v>
      </c>
      <c r="D16" s="77" t="s">
        <v>11</v>
      </c>
      <c r="E16" s="189">
        <f>[9]ESTIMATE!I30</f>
        <v>117.54</v>
      </c>
      <c r="F16" s="191">
        <f t="shared" si="1"/>
        <v>9144.61</v>
      </c>
    </row>
    <row r="17" spans="1:6">
      <c r="A17" s="82"/>
      <c r="B17" s="194"/>
      <c r="C17" s="276" t="s">
        <v>46</v>
      </c>
      <c r="D17" s="276"/>
      <c r="E17" s="276"/>
      <c r="F17" s="191">
        <f>SUM(F5:F16)</f>
        <v>503478.59</v>
      </c>
    </row>
    <row r="18" spans="1:6">
      <c r="A18" s="82"/>
      <c r="B18" s="194"/>
      <c r="C18" s="276" t="s">
        <v>47</v>
      </c>
      <c r="D18" s="276"/>
      <c r="E18" s="276"/>
      <c r="F18" s="191">
        <f>F17*18%</f>
        <v>90626.146200000003</v>
      </c>
    </row>
    <row r="19" spans="1:6">
      <c r="A19" s="82"/>
      <c r="B19" s="194"/>
      <c r="C19" s="276" t="s">
        <v>46</v>
      </c>
      <c r="D19" s="276"/>
      <c r="E19" s="276"/>
      <c r="F19" s="191">
        <f>SUM(F17:F18)</f>
        <v>594104.73620000004</v>
      </c>
    </row>
    <row r="20" spans="1:6">
      <c r="A20" s="82"/>
      <c r="B20" s="194"/>
      <c r="C20" s="276" t="s">
        <v>48</v>
      </c>
      <c r="D20" s="276"/>
      <c r="E20" s="276"/>
      <c r="F20" s="191">
        <f>ROUND(F19*0.01,2)</f>
        <v>5941.05</v>
      </c>
    </row>
    <row r="21" spans="1:6">
      <c r="A21" s="82"/>
      <c r="B21" s="194"/>
      <c r="C21" s="276" t="s">
        <v>32</v>
      </c>
      <c r="D21" s="276"/>
      <c r="E21" s="276"/>
      <c r="F21" s="191">
        <f>SUM(F19:F20)</f>
        <v>600045.78620000009</v>
      </c>
    </row>
  </sheetData>
  <mergeCells count="8">
    <mergeCell ref="C20:E20"/>
    <mergeCell ref="C21:E21"/>
    <mergeCell ref="A1:F1"/>
    <mergeCell ref="A2:F2"/>
    <mergeCell ref="A3:F3"/>
    <mergeCell ref="C17:E17"/>
    <mergeCell ref="C18:E18"/>
    <mergeCell ref="C19:E19"/>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RowHeight="18.75"/>
  <cols>
    <col min="2" max="2" width="32.296875" customWidth="1"/>
    <col min="3" max="3" width="7.5" customWidth="1"/>
    <col min="4" max="4" width="6.796875" customWidth="1"/>
    <col min="5" max="5" width="7.09765625" customWidth="1"/>
    <col min="6" max="6" width="10.5" customWidth="1"/>
  </cols>
  <sheetData>
    <row r="1" spans="1:6" ht="20.25">
      <c r="A1" s="281" t="s">
        <v>50</v>
      </c>
      <c r="B1" s="282"/>
      <c r="C1" s="282"/>
      <c r="D1" s="282"/>
      <c r="E1" s="282"/>
      <c r="F1" s="282"/>
    </row>
    <row r="2" spans="1:6" ht="18" customHeight="1">
      <c r="A2" s="283" t="s">
        <v>51</v>
      </c>
      <c r="B2" s="284"/>
      <c r="C2" s="284"/>
      <c r="D2" s="284"/>
      <c r="E2" s="284"/>
      <c r="F2" s="284"/>
    </row>
    <row r="3" spans="1:6" ht="31.5" customHeight="1">
      <c r="A3" s="285" t="str">
        <f>[10]ESTIMATE!A2</f>
        <v>Name of Work :-CONSTRUCTION OF PCC R0AD AT AT GIRZA TOLI DIBDHI P.C.C. MAIN ROD TO HOUSE OF NOBOR EKKA UNDER WARD NO-36</v>
      </c>
      <c r="B3" s="286"/>
      <c r="C3" s="286"/>
      <c r="D3" s="286"/>
      <c r="E3" s="286"/>
      <c r="F3" s="286"/>
    </row>
    <row r="4" spans="1:6" ht="31.5">
      <c r="A4" s="39" t="s">
        <v>52</v>
      </c>
      <c r="B4" s="69" t="s">
        <v>173</v>
      </c>
      <c r="C4" s="69" t="s">
        <v>5</v>
      </c>
      <c r="D4" s="69" t="s">
        <v>6</v>
      </c>
      <c r="E4" s="39" t="s">
        <v>53</v>
      </c>
      <c r="F4" s="164" t="s">
        <v>54</v>
      </c>
    </row>
    <row r="5" spans="1:6" ht="21.95" customHeight="1">
      <c r="A5" s="39">
        <v>1</v>
      </c>
      <c r="B5" s="163" t="str">
        <f>[10]ESTIMATE!B4</f>
        <v>Labour for site clearence before and after the work etc.</v>
      </c>
      <c r="C5" s="188">
        <f>[10]ESTIMATE!G4</f>
        <v>5</v>
      </c>
      <c r="D5" s="188" t="s">
        <v>174</v>
      </c>
      <c r="E5" s="189">
        <f>[10]ESTIMATE!I4</f>
        <v>326.85000000000002</v>
      </c>
      <c r="F5" s="164">
        <f t="shared" ref="F5:F10" si="0">ROUND(C5*E5,2)</f>
        <v>1634.25</v>
      </c>
    </row>
    <row r="6" spans="1:6" ht="114">
      <c r="A6" s="39" t="s">
        <v>175</v>
      </c>
      <c r="B6" s="71" t="str">
        <f>[10]ESTIMATE!B5</f>
        <v xml:space="preserve">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                                                                              </v>
      </c>
      <c r="C6" s="72">
        <f>[10]ESTIMATE!G8</f>
        <v>68.31</v>
      </c>
      <c r="D6" s="73" t="s">
        <v>11</v>
      </c>
      <c r="E6" s="190">
        <f>[10]ESTIMATE!I8</f>
        <v>151.82</v>
      </c>
      <c r="F6" s="191">
        <f t="shared" si="0"/>
        <v>10370.82</v>
      </c>
    </row>
    <row r="7" spans="1:6" ht="128.25">
      <c r="A7" s="39" t="s">
        <v>176</v>
      </c>
      <c r="B7" s="71" t="str">
        <f>[10]ESTIMATE!B9</f>
        <v xml:space="preserve">Providing stone cruster dust finer than 3mm with not more than 10% passing 0.075 sieve at Quarry in filling in foundation trenches or in plinth including  ramming and watering in layers not exceeding 150 mm thick with all leads and lifts including cost of materials , labour , royalty and taxes all complete as per specification and  direction of E/I. (Mode of measurement compacted volume. )                               </v>
      </c>
      <c r="C7" s="72">
        <f>[10]ESTIMATE!G12</f>
        <v>25.49</v>
      </c>
      <c r="D7" s="73" t="s">
        <v>11</v>
      </c>
      <c r="E7" s="190">
        <f>[10]ESTIMATE!I12</f>
        <v>347.85</v>
      </c>
      <c r="F7" s="191">
        <f t="shared" si="0"/>
        <v>8866.7000000000007</v>
      </c>
    </row>
    <row r="8" spans="1:6" ht="85.5">
      <c r="A8" s="39" t="s">
        <v>178</v>
      </c>
      <c r="B8" s="71" t="str">
        <f>[10]ESTIMATE!B13</f>
        <v>Supplying and laying (properly as per design and drawing )rip-rap with good quality of boulders duly packed including the cost of materials,royalty all taxes etc.but excluding the cost of carriage, all complete as per specification and direction of E/I.</v>
      </c>
      <c r="C8" s="72">
        <f>[10]ESTIMATE!G16</f>
        <v>42.82</v>
      </c>
      <c r="D8" s="73" t="s">
        <v>11</v>
      </c>
      <c r="E8" s="190">
        <f>[10]ESTIMATE!I16</f>
        <v>1756.4</v>
      </c>
      <c r="F8" s="191">
        <f t="shared" si="0"/>
        <v>75209.05</v>
      </c>
    </row>
    <row r="9" spans="1:6" ht="85.5">
      <c r="A9" s="39" t="s">
        <v>179</v>
      </c>
      <c r="B9" s="74" t="str">
        <f>[10]ESTIMATE!B17</f>
        <v xml:space="preserve">Providing and laying in position cement concrete of specified grade excluding the cost of centering and shuttering- All work upto plinth level : 1:1½:3 (1 cemet : 1½ coarse sand (zone-iii) : 3 graded stone aggregate 20mm nominal size )  </v>
      </c>
      <c r="C9" s="72">
        <f>[10]ESTIMATE!G20</f>
        <v>50.98</v>
      </c>
      <c r="D9" s="73" t="s">
        <v>11</v>
      </c>
      <c r="E9" s="72">
        <f>[10]ESTIMATE!I20</f>
        <v>4961.7299999999996</v>
      </c>
      <c r="F9" s="191">
        <f t="shared" si="0"/>
        <v>252949</v>
      </c>
    </row>
    <row r="10" spans="1:6" ht="57">
      <c r="A10" s="39" t="s">
        <v>181</v>
      </c>
      <c r="B10" s="71" t="str">
        <f>[10]ESTIMATE!B21</f>
        <v>Centering and shuttering including strutting, propping etc. and removal of from for Foundations, footings, bases of columns, etc. for mass concrete.</v>
      </c>
      <c r="C10" s="72">
        <f>[10]ESTIMATE!G24</f>
        <v>41.82</v>
      </c>
      <c r="D10" s="75" t="s">
        <v>20</v>
      </c>
      <c r="E10" s="176">
        <f>[10]ESTIMATE!I24</f>
        <v>194.5</v>
      </c>
      <c r="F10" s="164">
        <f t="shared" si="0"/>
        <v>8133.99</v>
      </c>
    </row>
    <row r="11" spans="1:6">
      <c r="A11" s="39">
        <v>7</v>
      </c>
      <c r="B11" s="192" t="s">
        <v>21</v>
      </c>
      <c r="C11" s="73"/>
      <c r="D11" s="77"/>
      <c r="E11" s="193"/>
      <c r="F11" s="191"/>
    </row>
    <row r="12" spans="1:6">
      <c r="A12" s="79" t="s">
        <v>22</v>
      </c>
      <c r="B12" s="80" t="s">
        <v>23</v>
      </c>
      <c r="C12" s="73">
        <f>[10]ESTIMATE!G26</f>
        <v>21.92</v>
      </c>
      <c r="D12" s="77" t="s">
        <v>11</v>
      </c>
      <c r="E12" s="189">
        <f>[10]ESTIMATE!I26</f>
        <v>848.82</v>
      </c>
      <c r="F12" s="191">
        <f t="shared" ref="F12:F16" si="1">ROUND(C12*E12,2)</f>
        <v>18606.13</v>
      </c>
    </row>
    <row r="13" spans="1:6">
      <c r="A13" s="79" t="s">
        <v>24</v>
      </c>
      <c r="B13" s="81" t="s">
        <v>183</v>
      </c>
      <c r="C13" s="73">
        <f>[10]ESTIMATE!G27</f>
        <v>25.49</v>
      </c>
      <c r="D13" s="77" t="s">
        <v>11</v>
      </c>
      <c r="E13" s="189">
        <f>[10]ESTIMATE!I27</f>
        <v>447.06</v>
      </c>
      <c r="F13" s="191">
        <f t="shared" si="1"/>
        <v>11395.56</v>
      </c>
    </row>
    <row r="14" spans="1:6">
      <c r="A14" s="79" t="s">
        <v>26</v>
      </c>
      <c r="B14" s="81" t="s">
        <v>27</v>
      </c>
      <c r="C14" s="73">
        <f>[10]ESTIMATE!G28</f>
        <v>43.84</v>
      </c>
      <c r="D14" s="77" t="s">
        <v>11</v>
      </c>
      <c r="E14" s="189">
        <f>[10]ESTIMATE!I28</f>
        <v>447.06</v>
      </c>
      <c r="F14" s="191">
        <f t="shared" si="1"/>
        <v>19599.11</v>
      </c>
    </row>
    <row r="15" spans="1:6">
      <c r="A15" s="79" t="s">
        <v>28</v>
      </c>
      <c r="B15" s="81" t="s">
        <v>29</v>
      </c>
      <c r="C15" s="73">
        <f>[10]ESTIMATE!G29</f>
        <v>42.82</v>
      </c>
      <c r="D15" s="77" t="s">
        <v>11</v>
      </c>
      <c r="E15" s="189">
        <f>[10]ESTIMATE!I29</f>
        <v>679.66</v>
      </c>
      <c r="F15" s="191">
        <f t="shared" si="1"/>
        <v>29103.040000000001</v>
      </c>
    </row>
    <row r="16" spans="1:6">
      <c r="A16" s="79" t="s">
        <v>30</v>
      </c>
      <c r="B16" s="71" t="s">
        <v>184</v>
      </c>
      <c r="C16" s="73">
        <f>[10]ESTIMATE!G30</f>
        <v>68.31</v>
      </c>
      <c r="D16" s="77" t="s">
        <v>11</v>
      </c>
      <c r="E16" s="189">
        <f>[10]ESTIMATE!I30</f>
        <v>117.54</v>
      </c>
      <c r="F16" s="191">
        <f t="shared" si="1"/>
        <v>8029.16</v>
      </c>
    </row>
    <row r="17" spans="1:6">
      <c r="A17" s="82"/>
      <c r="B17" s="194"/>
      <c r="C17" s="280" t="s">
        <v>46</v>
      </c>
      <c r="D17" s="280"/>
      <c r="E17" s="280"/>
      <c r="F17" s="191">
        <f>SUM(F5:F16)</f>
        <v>443896.80999999994</v>
      </c>
    </row>
    <row r="18" spans="1:6">
      <c r="A18" s="82"/>
      <c r="B18" s="194"/>
      <c r="C18" s="280" t="s">
        <v>47</v>
      </c>
      <c r="D18" s="280"/>
      <c r="E18" s="280"/>
      <c r="F18" s="191">
        <f>F17*18%</f>
        <v>79901.425799999983</v>
      </c>
    </row>
    <row r="19" spans="1:6">
      <c r="A19" s="82"/>
      <c r="B19" s="194"/>
      <c r="C19" s="280" t="s">
        <v>46</v>
      </c>
      <c r="D19" s="280"/>
      <c r="E19" s="280"/>
      <c r="F19" s="191">
        <f>SUM(F17:F18)</f>
        <v>523798.23579999991</v>
      </c>
    </row>
    <row r="20" spans="1:6">
      <c r="A20" s="82"/>
      <c r="B20" s="194"/>
      <c r="C20" s="280" t="s">
        <v>48</v>
      </c>
      <c r="D20" s="280"/>
      <c r="E20" s="280"/>
      <c r="F20" s="191">
        <f>ROUND(F19*0.01,2)</f>
        <v>5237.9799999999996</v>
      </c>
    </row>
    <row r="21" spans="1:6">
      <c r="A21" s="82"/>
      <c r="B21" s="194"/>
      <c r="C21" s="280" t="s">
        <v>32</v>
      </c>
      <c r="D21" s="280"/>
      <c r="E21" s="280"/>
      <c r="F21" s="191">
        <f>SUM(F19:F20)</f>
        <v>529036.21579999989</v>
      </c>
    </row>
  </sheetData>
  <mergeCells count="8">
    <mergeCell ref="C20:E20"/>
    <mergeCell ref="C21:E21"/>
    <mergeCell ref="A1:F1"/>
    <mergeCell ref="A2:F2"/>
    <mergeCell ref="A3:F3"/>
    <mergeCell ref="C17:E17"/>
    <mergeCell ref="C18:E18"/>
    <mergeCell ref="C19:E19"/>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F27"/>
  <sheetViews>
    <sheetView workbookViewId="0">
      <selection activeCell="A3" sqref="A3:F3"/>
    </sheetView>
  </sheetViews>
  <sheetFormatPr defaultRowHeight="18.75"/>
  <cols>
    <col min="2" max="2" width="36" customWidth="1"/>
    <col min="6" max="6" width="11.8984375" bestFit="1" customWidth="1"/>
  </cols>
  <sheetData>
    <row r="1" spans="1:6" ht="25.5">
      <c r="A1" s="268" t="s">
        <v>50</v>
      </c>
      <c r="B1" s="269"/>
      <c r="C1" s="269"/>
      <c r="D1" s="269"/>
      <c r="E1" s="269"/>
      <c r="F1" s="270"/>
    </row>
    <row r="2" spans="1:6" ht="18" customHeight="1">
      <c r="A2" s="271" t="s">
        <v>51</v>
      </c>
      <c r="B2" s="228"/>
      <c r="C2" s="228"/>
      <c r="D2" s="228"/>
      <c r="E2" s="228"/>
      <c r="F2" s="229"/>
    </row>
    <row r="3" spans="1:6" ht="32.450000000000003" customHeight="1">
      <c r="A3" s="287" t="s">
        <v>167</v>
      </c>
      <c r="B3" s="287"/>
      <c r="C3" s="287"/>
      <c r="D3" s="287"/>
      <c r="E3" s="287"/>
      <c r="F3" s="287"/>
    </row>
    <row r="4" spans="1:6" ht="33" customHeight="1">
      <c r="A4" s="161" t="s">
        <v>52</v>
      </c>
      <c r="B4" s="162" t="s">
        <v>39</v>
      </c>
      <c r="C4" s="162" t="s">
        <v>5</v>
      </c>
      <c r="D4" s="162" t="s">
        <v>6</v>
      </c>
      <c r="E4" s="161" t="s">
        <v>53</v>
      </c>
      <c r="F4" s="161" t="s">
        <v>54</v>
      </c>
    </row>
    <row r="5" spans="1:6" ht="35.25" customHeight="1">
      <c r="A5" s="39">
        <v>1</v>
      </c>
      <c r="B5" s="163" t="s">
        <v>42</v>
      </c>
      <c r="C5" s="188">
        <f>[11]ESTIMATE!G4</f>
        <v>5</v>
      </c>
      <c r="D5" s="75" t="s">
        <v>168</v>
      </c>
      <c r="E5" s="75">
        <v>326.85000000000002</v>
      </c>
      <c r="F5" s="75">
        <v>1634.25</v>
      </c>
    </row>
    <row r="6" spans="1:6" ht="93.75" customHeight="1">
      <c r="A6" s="161" t="str">
        <f>[11]ESTIMATE!A5</f>
        <v>2       5.1.1.</v>
      </c>
      <c r="B6" s="165" t="s">
        <v>162</v>
      </c>
      <c r="C6" s="166">
        <f>[11]ESTIMATE!G8</f>
        <v>70.209999999999994</v>
      </c>
      <c r="D6" s="167" t="s">
        <v>11</v>
      </c>
      <c r="E6" s="166">
        <f>[11]ESTIMATE!I8</f>
        <v>151.82</v>
      </c>
      <c r="F6" s="166">
        <f>ROUND(C6*E6,2)</f>
        <v>10659.28</v>
      </c>
    </row>
    <row r="7" spans="1:6" ht="110.25" customHeight="1">
      <c r="A7" s="161" t="str">
        <f>[11]ESTIMATE!A9</f>
        <v>3.           M-004</v>
      </c>
      <c r="B7" s="165" t="s">
        <v>13</v>
      </c>
      <c r="C7" s="166">
        <f>[11]ESTIMATE!G12</f>
        <v>26.2</v>
      </c>
      <c r="D7" s="167" t="s">
        <v>11</v>
      </c>
      <c r="E7" s="166">
        <v>347.85</v>
      </c>
      <c r="F7" s="166">
        <f>ROUND(C7*E7,2)</f>
        <v>9113.67</v>
      </c>
    </row>
    <row r="8" spans="1:6" ht="78.75">
      <c r="A8" s="161" t="str">
        <f>[11]ESTIMATE!A13</f>
        <v>4.       5.6.8 (C.I.W.)</v>
      </c>
      <c r="B8" s="165" t="s">
        <v>15</v>
      </c>
      <c r="C8" s="166">
        <f>[11]ESTIMATE!G16</f>
        <v>44.01</v>
      </c>
      <c r="D8" s="167" t="s">
        <v>11</v>
      </c>
      <c r="E8" s="166">
        <f>[11]ESTIMATE!I16</f>
        <v>1756.4</v>
      </c>
      <c r="F8" s="166">
        <f>ROUND(C8*E8,2)</f>
        <v>77299.16</v>
      </c>
    </row>
    <row r="9" spans="1:6" ht="65.099999999999994" customHeight="1">
      <c r="A9" s="161" t="str">
        <f>[11]ESTIMATE!A17</f>
        <v>5.     5.3.1.1</v>
      </c>
      <c r="B9" s="168" t="s">
        <v>44</v>
      </c>
      <c r="C9" s="166">
        <f>[11]ESTIMATE!G20</f>
        <v>52.39</v>
      </c>
      <c r="D9" s="167" t="s">
        <v>11</v>
      </c>
      <c r="E9" s="166">
        <f>[11]ESTIMATE!I20</f>
        <v>4961.7299999999996</v>
      </c>
      <c r="F9" s="166">
        <f>ROUND(C9*E9,2)</f>
        <v>259945.03</v>
      </c>
    </row>
    <row r="10" spans="1:6" ht="51.75" customHeight="1">
      <c r="A10" s="161" t="str">
        <f>[11]ESTIMATE!A21</f>
        <v>6               5.3.17.1</v>
      </c>
      <c r="B10" s="165" t="s">
        <v>19</v>
      </c>
      <c r="C10" s="166">
        <f>[11]ESTIMATE!G24</f>
        <v>34.39</v>
      </c>
      <c r="D10" s="169" t="s">
        <v>20</v>
      </c>
      <c r="E10" s="161">
        <f>[11]ESTIMATE!I24</f>
        <v>194.5</v>
      </c>
      <c r="F10" s="170">
        <f>ROUND(C10*E10,2)</f>
        <v>6688.86</v>
      </c>
    </row>
    <row r="11" spans="1:6">
      <c r="A11" s="161">
        <f>[11]ESTIMATE!A25</f>
        <v>7</v>
      </c>
      <c r="B11" s="171" t="s">
        <v>21</v>
      </c>
      <c r="C11" s="167"/>
      <c r="D11" s="172"/>
      <c r="E11" s="173"/>
      <c r="F11" s="166"/>
    </row>
    <row r="12" spans="1:6">
      <c r="A12" s="174" t="s">
        <v>22</v>
      </c>
      <c r="B12" s="175" t="s">
        <v>145</v>
      </c>
      <c r="C12" s="167">
        <f>PRODUCT('[11]MATERIAL '!F7)</f>
        <v>22.53</v>
      </c>
      <c r="D12" s="172" t="s">
        <v>11</v>
      </c>
      <c r="E12" s="39">
        <f>[11]ESTIMATE!I26</f>
        <v>848.82</v>
      </c>
      <c r="F12" s="166">
        <f t="shared" ref="F12:F16" si="0">ROUND(C12*E12,2)</f>
        <v>19123.91</v>
      </c>
    </row>
    <row r="13" spans="1:6">
      <c r="A13" s="174" t="s">
        <v>24</v>
      </c>
      <c r="B13" s="175" t="s">
        <v>163</v>
      </c>
      <c r="C13" s="167">
        <f>PRODUCT('[11]MATERIAL '!G7)</f>
        <v>26.2</v>
      </c>
      <c r="D13" s="172" t="s">
        <v>11</v>
      </c>
      <c r="E13" s="176">
        <v>447.06</v>
      </c>
      <c r="F13" s="166">
        <f t="shared" si="0"/>
        <v>11712.97</v>
      </c>
    </row>
    <row r="14" spans="1:6">
      <c r="A14" s="174" t="s">
        <v>26</v>
      </c>
      <c r="B14" s="177" t="s">
        <v>164</v>
      </c>
      <c r="C14" s="167">
        <f>PRODUCT('[11]MATERIAL '!H7)</f>
        <v>45.06</v>
      </c>
      <c r="D14" s="172" t="s">
        <v>11</v>
      </c>
      <c r="E14" s="176">
        <v>447.06</v>
      </c>
      <c r="F14" s="166">
        <f t="shared" si="0"/>
        <v>20144.52</v>
      </c>
    </row>
    <row r="15" spans="1:6">
      <c r="A15" s="174" t="s">
        <v>28</v>
      </c>
      <c r="B15" s="177" t="s">
        <v>165</v>
      </c>
      <c r="C15" s="167">
        <f>PRODUCT('[11]MATERIAL '!I7)</f>
        <v>44.01</v>
      </c>
      <c r="D15" s="172" t="s">
        <v>11</v>
      </c>
      <c r="E15" s="39">
        <f>[11]ESTIMATE!I29</f>
        <v>679.66</v>
      </c>
      <c r="F15" s="166">
        <f t="shared" si="0"/>
        <v>29911.84</v>
      </c>
    </row>
    <row r="16" spans="1:6">
      <c r="A16" s="174" t="s">
        <v>30</v>
      </c>
      <c r="B16" s="165" t="s">
        <v>157</v>
      </c>
      <c r="C16" s="167">
        <f>PRODUCT('[11]MATERIAL '!J7)</f>
        <v>70.209999999999994</v>
      </c>
      <c r="D16" s="172" t="s">
        <v>11</v>
      </c>
      <c r="E16" s="176">
        <f>[11]ESTIMATE!I30</f>
        <v>117.54</v>
      </c>
      <c r="F16" s="166">
        <f t="shared" si="0"/>
        <v>8252.48</v>
      </c>
    </row>
    <row r="17" spans="1:6">
      <c r="A17" s="178"/>
      <c r="B17" s="178"/>
      <c r="C17" s="266" t="s">
        <v>46</v>
      </c>
      <c r="D17" s="266"/>
      <c r="E17" s="267"/>
      <c r="F17" s="166">
        <f>SUM(F5:F16)</f>
        <v>454485.97</v>
      </c>
    </row>
    <row r="18" spans="1:6">
      <c r="A18" s="178"/>
      <c r="B18" s="178"/>
      <c r="C18" s="275" t="s">
        <v>47</v>
      </c>
      <c r="D18" s="266"/>
      <c r="E18" s="267"/>
      <c r="F18" s="166">
        <f>F17*18%</f>
        <v>81807.474599999987</v>
      </c>
    </row>
    <row r="19" spans="1:6">
      <c r="A19" s="178"/>
      <c r="B19" s="178"/>
      <c r="C19" s="275" t="s">
        <v>46</v>
      </c>
      <c r="D19" s="266"/>
      <c r="E19" s="267"/>
      <c r="F19" s="166">
        <f>SUM(F17:F18)</f>
        <v>536293.44459999993</v>
      </c>
    </row>
    <row r="20" spans="1:6">
      <c r="A20" s="178"/>
      <c r="B20" s="178"/>
      <c r="C20" s="266" t="s">
        <v>169</v>
      </c>
      <c r="D20" s="266"/>
      <c r="E20" s="267"/>
      <c r="F20" s="166">
        <f>ROUND(F19*0.01,2)</f>
        <v>5362.93</v>
      </c>
    </row>
    <row r="21" spans="1:6">
      <c r="A21" s="178"/>
      <c r="B21" s="178"/>
      <c r="C21" s="266" t="s">
        <v>46</v>
      </c>
      <c r="D21" s="266"/>
      <c r="E21" s="267"/>
      <c r="F21" s="179">
        <f>SUM(F19:F20)</f>
        <v>541656.37459999998</v>
      </c>
    </row>
    <row r="22" spans="1:6">
      <c r="A22" s="181"/>
      <c r="B22" s="181"/>
      <c r="C22" s="182"/>
      <c r="D22" s="182"/>
      <c r="E22" s="182"/>
      <c r="F22" s="183"/>
    </row>
    <row r="23" spans="1:6">
      <c r="A23" s="181"/>
      <c r="B23" s="181"/>
      <c r="C23" s="182"/>
      <c r="D23" s="182"/>
      <c r="E23" s="182"/>
      <c r="F23" s="183"/>
    </row>
    <row r="24" spans="1:6">
      <c r="A24" s="184"/>
    </row>
    <row r="25" spans="1:6">
      <c r="A25" s="184"/>
    </row>
    <row r="26" spans="1:6">
      <c r="A26" s="184"/>
      <c r="B26" s="185" t="s">
        <v>170</v>
      </c>
      <c r="C26" s="186" t="s">
        <v>171</v>
      </c>
      <c r="F26" s="187" t="s">
        <v>62</v>
      </c>
    </row>
    <row r="27" spans="1:6">
      <c r="A27" s="184"/>
      <c r="B27" s="185" t="s">
        <v>63</v>
      </c>
      <c r="C27" s="186" t="s">
        <v>172</v>
      </c>
      <c r="F27" s="187" t="s">
        <v>63</v>
      </c>
    </row>
  </sheetData>
  <mergeCells count="8">
    <mergeCell ref="C20:E20"/>
    <mergeCell ref="C21:E21"/>
    <mergeCell ref="A1:F1"/>
    <mergeCell ref="A2:F2"/>
    <mergeCell ref="A3:F3"/>
    <mergeCell ref="C17:E17"/>
    <mergeCell ref="C18:E18"/>
    <mergeCell ref="C19:E19"/>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F25"/>
  <sheetViews>
    <sheetView topLeftCell="A10" workbookViewId="0">
      <selection activeCell="E5" sqref="E5:E16"/>
    </sheetView>
  </sheetViews>
  <sheetFormatPr defaultRowHeight="18.75"/>
  <cols>
    <col min="1" max="1" width="6.19921875" bestFit="1" customWidth="1"/>
    <col min="2" max="2" width="36" customWidth="1"/>
    <col min="3" max="3" width="6.19921875" bestFit="1" customWidth="1"/>
    <col min="5" max="5" width="6.19921875" bestFit="1" customWidth="1"/>
    <col min="6" max="6" width="12" style="95" bestFit="1" customWidth="1"/>
  </cols>
  <sheetData>
    <row r="1" spans="1:6" ht="20.25">
      <c r="A1" s="290" t="s">
        <v>50</v>
      </c>
      <c r="B1" s="291"/>
      <c r="C1" s="291"/>
      <c r="D1" s="291"/>
      <c r="E1" s="291"/>
      <c r="F1" s="292"/>
    </row>
    <row r="2" spans="1:6" ht="18" customHeight="1">
      <c r="A2" s="293" t="s">
        <v>51</v>
      </c>
      <c r="B2" s="294"/>
      <c r="C2" s="294"/>
      <c r="D2" s="294"/>
      <c r="E2" s="294"/>
      <c r="F2" s="295"/>
    </row>
    <row r="3" spans="1:6" ht="32.450000000000003" customHeight="1">
      <c r="A3" s="296" t="str">
        <f>[12]ESTIMATE!A2</f>
        <v>Name of Work :-CONSTRUCTION OF PCC R0AD AT NEW PUNDAG JAGRNATH VIHAR HOUSE OF AMER YADAV TO HOUSE OF RAJU JEE  UNDER WARD NO-36</v>
      </c>
      <c r="B3" s="296"/>
      <c r="C3" s="296"/>
      <c r="D3" s="296"/>
      <c r="E3" s="296"/>
      <c r="F3" s="296"/>
    </row>
    <row r="4" spans="1:6" ht="33" customHeight="1">
      <c r="A4" s="196" t="s">
        <v>52</v>
      </c>
      <c r="B4" s="197" t="s">
        <v>39</v>
      </c>
      <c r="C4" s="197" t="s">
        <v>5</v>
      </c>
      <c r="D4" s="197" t="s">
        <v>6</v>
      </c>
      <c r="E4" s="196" t="s">
        <v>53</v>
      </c>
      <c r="F4" s="164" t="s">
        <v>54</v>
      </c>
    </row>
    <row r="5" spans="1:6" ht="35.25" customHeight="1">
      <c r="A5" s="39">
        <v>1</v>
      </c>
      <c r="B5" s="163" t="s">
        <v>42</v>
      </c>
      <c r="C5" s="176">
        <f>[12]ESTIMATE!G4</f>
        <v>1</v>
      </c>
      <c r="D5" s="39" t="s">
        <v>185</v>
      </c>
      <c r="E5" s="96">
        <f>[12]ESTIMATE!I4</f>
        <v>326.85000000000002</v>
      </c>
      <c r="F5" s="70">
        <v>1634.25</v>
      </c>
    </row>
    <row r="6" spans="1:6" ht="93.75" customHeight="1">
      <c r="A6" s="196" t="str">
        <f>[12]ESTIMATE!A5</f>
        <v>2       5.1.1.</v>
      </c>
      <c r="B6" s="198" t="s">
        <v>162</v>
      </c>
      <c r="C6" s="199">
        <f>[12]ESTIMATE!G8</f>
        <v>18.97</v>
      </c>
      <c r="D6" s="200" t="s">
        <v>11</v>
      </c>
      <c r="E6" s="215">
        <f>[12]ESTIMATE!I8</f>
        <v>151.82</v>
      </c>
      <c r="F6" s="191">
        <f>ROUND(C6*E6,2)</f>
        <v>2880.03</v>
      </c>
    </row>
    <row r="7" spans="1:6" ht="110.25" customHeight="1">
      <c r="A7" s="196" t="str">
        <f>[12]ESTIMATE!A9</f>
        <v>3.           M-004</v>
      </c>
      <c r="B7" s="198" t="s">
        <v>13</v>
      </c>
      <c r="C7" s="199">
        <f>[12]ESTIMATE!G12</f>
        <v>7.08</v>
      </c>
      <c r="D7" s="200" t="s">
        <v>11</v>
      </c>
      <c r="E7" s="215">
        <v>347.85</v>
      </c>
      <c r="F7" s="191">
        <f>ROUND(C7*E7,2)</f>
        <v>2462.7800000000002</v>
      </c>
    </row>
    <row r="8" spans="1:6" ht="75">
      <c r="A8" s="196" t="str">
        <f>[12]ESTIMATE!A13</f>
        <v>4.       5.6.8 (C.I.W.)</v>
      </c>
      <c r="B8" s="198" t="s">
        <v>15</v>
      </c>
      <c r="C8" s="199">
        <f>[12]ESTIMATE!G16</f>
        <v>11.89</v>
      </c>
      <c r="D8" s="200" t="s">
        <v>11</v>
      </c>
      <c r="E8" s="215">
        <f>[12]ESTIMATE!I16</f>
        <v>1756.4</v>
      </c>
      <c r="F8" s="191">
        <f>ROUND(C8*E8,2)</f>
        <v>20883.599999999999</v>
      </c>
    </row>
    <row r="9" spans="1:6" ht="65.099999999999994" customHeight="1">
      <c r="A9" s="196" t="str">
        <f>[12]ESTIMATE!A17</f>
        <v>5.     5.3.1.1</v>
      </c>
      <c r="B9" s="201" t="s">
        <v>44</v>
      </c>
      <c r="C9" s="199">
        <f>[12]ESTIMATE!G20</f>
        <v>14.16</v>
      </c>
      <c r="D9" s="200" t="s">
        <v>11</v>
      </c>
      <c r="E9" s="215">
        <f>[12]ESTIMATE!I20</f>
        <v>4961.7299999999996</v>
      </c>
      <c r="F9" s="191">
        <f>ROUND(C9*E9,2)</f>
        <v>70258.100000000006</v>
      </c>
    </row>
    <row r="10" spans="1:6" ht="51.75" customHeight="1">
      <c r="A10" s="196" t="str">
        <f>[12]ESTIMATE!A21</f>
        <v>6               5.3.17.1</v>
      </c>
      <c r="B10" s="198" t="s">
        <v>19</v>
      </c>
      <c r="C10" s="199">
        <f>[12]ESTIMATE!G24</f>
        <v>9.2899999999999991</v>
      </c>
      <c r="D10" s="202" t="s">
        <v>20</v>
      </c>
      <c r="E10" s="96">
        <f>[12]ESTIMATE!I24</f>
        <v>194.5</v>
      </c>
      <c r="F10" s="164">
        <f>ROUND(C10*E10,2)</f>
        <v>1806.91</v>
      </c>
    </row>
    <row r="11" spans="1:6">
      <c r="A11" s="196">
        <f>[12]ESTIMATE!A25</f>
        <v>7</v>
      </c>
      <c r="B11" s="203" t="s">
        <v>21</v>
      </c>
      <c r="C11" s="200"/>
      <c r="D11" s="204"/>
      <c r="E11" s="216"/>
      <c r="F11" s="191"/>
    </row>
    <row r="12" spans="1:6">
      <c r="A12" s="206" t="s">
        <v>22</v>
      </c>
      <c r="B12" s="207" t="s">
        <v>145</v>
      </c>
      <c r="C12" s="200">
        <f>PRODUCT('[12]MATERIAL '!F7)</f>
        <v>6.09</v>
      </c>
      <c r="D12" s="204" t="s">
        <v>11</v>
      </c>
      <c r="E12" s="96">
        <f>[12]ESTIMATE!I26</f>
        <v>848.82</v>
      </c>
      <c r="F12" s="191">
        <f t="shared" ref="F12:F16" si="0">ROUND(C12*E12,2)</f>
        <v>5169.3100000000004</v>
      </c>
    </row>
    <row r="13" spans="1:6">
      <c r="A13" s="206" t="s">
        <v>24</v>
      </c>
      <c r="B13" s="207" t="s">
        <v>163</v>
      </c>
      <c r="C13" s="200">
        <f>PRODUCT('[12]MATERIAL '!G7)</f>
        <v>7.08</v>
      </c>
      <c r="D13" s="204" t="s">
        <v>11</v>
      </c>
      <c r="E13" s="217">
        <v>447.06</v>
      </c>
      <c r="F13" s="191">
        <f t="shared" si="0"/>
        <v>3165.18</v>
      </c>
    </row>
    <row r="14" spans="1:6">
      <c r="A14" s="206" t="s">
        <v>26</v>
      </c>
      <c r="B14" s="208" t="s">
        <v>164</v>
      </c>
      <c r="C14" s="200">
        <f>PRODUCT('[12]MATERIAL '!H7)</f>
        <v>12.18</v>
      </c>
      <c r="D14" s="204" t="s">
        <v>11</v>
      </c>
      <c r="E14" s="217">
        <v>447.06</v>
      </c>
      <c r="F14" s="191">
        <f t="shared" si="0"/>
        <v>5445.19</v>
      </c>
    </row>
    <row r="15" spans="1:6">
      <c r="A15" s="206" t="s">
        <v>28</v>
      </c>
      <c r="B15" s="208" t="s">
        <v>165</v>
      </c>
      <c r="C15" s="200">
        <f>PRODUCT('[12]MATERIAL '!I7)</f>
        <v>11.89</v>
      </c>
      <c r="D15" s="204" t="s">
        <v>11</v>
      </c>
      <c r="E15" s="96">
        <f>[12]ESTIMATE!I29</f>
        <v>679.66</v>
      </c>
      <c r="F15" s="191">
        <f t="shared" si="0"/>
        <v>8081.16</v>
      </c>
    </row>
    <row r="16" spans="1:6">
      <c r="A16" s="206" t="s">
        <v>30</v>
      </c>
      <c r="B16" s="198" t="s">
        <v>157</v>
      </c>
      <c r="C16" s="200">
        <f>PRODUCT('[12]MATERIAL '!J7)</f>
        <v>18.97</v>
      </c>
      <c r="D16" s="204" t="s">
        <v>11</v>
      </c>
      <c r="E16" s="217">
        <f>[12]ESTIMATE!I30</f>
        <v>117.54</v>
      </c>
      <c r="F16" s="191">
        <f t="shared" si="0"/>
        <v>2229.73</v>
      </c>
    </row>
    <row r="17" spans="1:6">
      <c r="A17" s="209"/>
      <c r="B17" s="209"/>
      <c r="C17" s="288" t="s">
        <v>46</v>
      </c>
      <c r="D17" s="288"/>
      <c r="E17" s="289"/>
      <c r="F17" s="191">
        <f>SUM(F5:F16)</f>
        <v>124016.24</v>
      </c>
    </row>
    <row r="18" spans="1:6">
      <c r="A18" s="209"/>
      <c r="B18" s="209"/>
      <c r="C18" s="297" t="s">
        <v>47</v>
      </c>
      <c r="D18" s="288"/>
      <c r="E18" s="289"/>
      <c r="F18" s="191">
        <f>F17*18%</f>
        <v>22322.923200000001</v>
      </c>
    </row>
    <row r="19" spans="1:6">
      <c r="A19" s="209"/>
      <c r="B19" s="209"/>
      <c r="C19" s="297" t="s">
        <v>46</v>
      </c>
      <c r="D19" s="288"/>
      <c r="E19" s="289"/>
      <c r="F19" s="191">
        <f>SUM(F17:F18)</f>
        <v>146339.16320000001</v>
      </c>
    </row>
    <row r="20" spans="1:6">
      <c r="A20" s="209"/>
      <c r="B20" s="209"/>
      <c r="C20" s="288" t="s">
        <v>58</v>
      </c>
      <c r="D20" s="288"/>
      <c r="E20" s="289"/>
      <c r="F20" s="191">
        <f>ROUND(F19*0.01,2)</f>
        <v>1463.39</v>
      </c>
    </row>
    <row r="21" spans="1:6">
      <c r="A21" s="209"/>
      <c r="B21" s="209"/>
      <c r="C21" s="288" t="s">
        <v>46</v>
      </c>
      <c r="D21" s="288"/>
      <c r="E21" s="289"/>
      <c r="F21" s="191">
        <f>SUM(F19:F20)</f>
        <v>147802.55320000002</v>
      </c>
    </row>
    <row r="22" spans="1:6">
      <c r="A22" s="210"/>
      <c r="B22" s="210"/>
      <c r="C22" s="211"/>
      <c r="D22" s="211"/>
      <c r="E22" s="211"/>
      <c r="F22" s="212"/>
    </row>
    <row r="23" spans="1:6">
      <c r="A23" s="210"/>
      <c r="B23" s="210"/>
      <c r="C23" s="211"/>
      <c r="D23" s="211"/>
      <c r="E23" s="211"/>
      <c r="F23" s="212"/>
    </row>
    <row r="24" spans="1:6">
      <c r="A24" s="184"/>
    </row>
    <row r="25" spans="1:6">
      <c r="A25" s="184"/>
    </row>
  </sheetData>
  <mergeCells count="8">
    <mergeCell ref="C20:E20"/>
    <mergeCell ref="C21:E21"/>
    <mergeCell ref="A1:F1"/>
    <mergeCell ref="A2:F2"/>
    <mergeCell ref="A3:F3"/>
    <mergeCell ref="C17:E17"/>
    <mergeCell ref="C18:E18"/>
    <mergeCell ref="C19:E19"/>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F14"/>
  <sheetViews>
    <sheetView workbookViewId="0">
      <selection activeCell="A3" sqref="A3:F3"/>
    </sheetView>
  </sheetViews>
  <sheetFormatPr defaultRowHeight="15"/>
  <cols>
    <col min="1" max="1" width="8.796875" style="110"/>
    <col min="2" max="2" width="30" style="111" customWidth="1"/>
    <col min="3" max="3" width="8.796875" style="103"/>
    <col min="4" max="4" width="8.796875" style="112"/>
    <col min="5" max="5" width="8" style="103" customWidth="1"/>
    <col min="6" max="6" width="11.5" style="113" customWidth="1"/>
    <col min="7" max="16384" width="8.796875" style="103"/>
  </cols>
  <sheetData>
    <row r="1" spans="1:6" ht="18.75">
      <c r="A1" s="223" t="s">
        <v>131</v>
      </c>
      <c r="B1" s="223"/>
      <c r="C1" s="223"/>
      <c r="D1" s="223"/>
      <c r="E1" s="223"/>
      <c r="F1" s="223"/>
    </row>
    <row r="2" spans="1:6" ht="18.75">
      <c r="A2" s="223" t="s">
        <v>81</v>
      </c>
      <c r="B2" s="223"/>
      <c r="C2" s="223"/>
      <c r="D2" s="223"/>
      <c r="E2" s="223"/>
      <c r="F2" s="223"/>
    </row>
    <row r="3" spans="1:6" ht="75.75" customHeight="1">
      <c r="A3" s="224" t="s">
        <v>132</v>
      </c>
      <c r="B3" s="224"/>
      <c r="C3" s="224"/>
      <c r="D3" s="224"/>
      <c r="E3" s="224"/>
      <c r="F3" s="224"/>
    </row>
    <row r="4" spans="1:6">
      <c r="A4" s="104" t="s">
        <v>83</v>
      </c>
      <c r="B4" s="104" t="s">
        <v>84</v>
      </c>
      <c r="C4" s="104" t="s">
        <v>85</v>
      </c>
      <c r="D4" s="104" t="s">
        <v>6</v>
      </c>
      <c r="E4" s="104" t="s">
        <v>86</v>
      </c>
      <c r="F4" s="104" t="s">
        <v>87</v>
      </c>
    </row>
    <row r="5" spans="1:6" ht="75">
      <c r="A5" s="106" t="s">
        <v>133</v>
      </c>
      <c r="B5" s="106" t="s">
        <v>134</v>
      </c>
      <c r="C5" s="106">
        <v>1394.05</v>
      </c>
      <c r="D5" s="106" t="s">
        <v>100</v>
      </c>
      <c r="E5" s="106">
        <v>12.6</v>
      </c>
      <c r="F5" s="106">
        <f>C5*E5</f>
        <v>17565.03</v>
      </c>
    </row>
    <row r="6" spans="1:6" ht="180">
      <c r="A6" s="106" t="s">
        <v>135</v>
      </c>
      <c r="B6" s="106" t="s">
        <v>136</v>
      </c>
      <c r="C6" s="106">
        <v>53.1</v>
      </c>
      <c r="D6" s="106" t="s">
        <v>91</v>
      </c>
      <c r="E6" s="106">
        <v>10656</v>
      </c>
      <c r="F6" s="106">
        <f t="shared" ref="F6:F7" si="0">C6*E6</f>
        <v>565833.6</v>
      </c>
    </row>
    <row r="7" spans="1:6" ht="45">
      <c r="A7" s="106" t="s">
        <v>137</v>
      </c>
      <c r="B7" s="106" t="s">
        <v>138</v>
      </c>
      <c r="C7" s="106">
        <v>139.41</v>
      </c>
      <c r="D7" s="106" t="s">
        <v>100</v>
      </c>
      <c r="E7" s="106">
        <v>584.29999999999995</v>
      </c>
      <c r="F7" s="106">
        <f t="shared" si="0"/>
        <v>81457.262999999992</v>
      </c>
    </row>
    <row r="8" spans="1:6">
      <c r="A8" s="105">
        <v>4</v>
      </c>
      <c r="B8" s="106" t="s">
        <v>101</v>
      </c>
      <c r="C8" s="106"/>
      <c r="D8" s="106"/>
      <c r="E8" s="106"/>
      <c r="F8" s="106"/>
    </row>
    <row r="9" spans="1:6" ht="16.5">
      <c r="A9" s="106" t="s">
        <v>102</v>
      </c>
      <c r="B9" s="106" t="s">
        <v>139</v>
      </c>
      <c r="C9" s="106">
        <v>77.53</v>
      </c>
      <c r="D9" s="106" t="s">
        <v>127</v>
      </c>
      <c r="E9" s="106">
        <v>342.9</v>
      </c>
      <c r="F9" s="106">
        <f t="shared" ref="F9" si="1">C9*E9</f>
        <v>26585.037</v>
      </c>
    </row>
    <row r="10" spans="1:6">
      <c r="A10" s="106"/>
      <c r="B10" s="106"/>
      <c r="C10" s="106"/>
      <c r="D10" s="106"/>
      <c r="E10" s="106" t="s">
        <v>46</v>
      </c>
      <c r="F10" s="106">
        <f>SUM(F5:F9)</f>
        <v>691440.93</v>
      </c>
    </row>
    <row r="11" spans="1:6">
      <c r="A11" s="107"/>
      <c r="B11" s="108"/>
      <c r="C11" s="109"/>
      <c r="D11" s="105"/>
      <c r="E11" s="106" t="s">
        <v>112</v>
      </c>
      <c r="F11" s="106">
        <f>F10*18/100</f>
        <v>124459.3674</v>
      </c>
    </row>
    <row r="12" spans="1:6">
      <c r="A12" s="107"/>
      <c r="B12" s="108"/>
      <c r="C12" s="109"/>
      <c r="D12" s="105"/>
      <c r="E12" s="106"/>
      <c r="F12" s="106">
        <f>F11+F10</f>
        <v>815900.29740000004</v>
      </c>
    </row>
    <row r="13" spans="1:6">
      <c r="A13" s="107"/>
      <c r="B13" s="108"/>
      <c r="C13" s="109"/>
      <c r="D13" s="105"/>
      <c r="E13" s="106" t="s">
        <v>113</v>
      </c>
      <c r="F13" s="106">
        <f>F12*1/100</f>
        <v>8159.002974</v>
      </c>
    </row>
    <row r="14" spans="1:6">
      <c r="A14" s="107"/>
      <c r="B14" s="108"/>
      <c r="C14" s="109"/>
      <c r="D14" s="105"/>
      <c r="E14" s="106" t="s">
        <v>32</v>
      </c>
      <c r="F14" s="106">
        <f>F13+F12</f>
        <v>824059.30037399998</v>
      </c>
    </row>
  </sheetData>
  <mergeCells count="3">
    <mergeCell ref="A1:F1"/>
    <mergeCell ref="A2:F2"/>
    <mergeCell ref="A3:F3"/>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F14"/>
  <sheetViews>
    <sheetView workbookViewId="0">
      <selection activeCell="A3" sqref="A3:F3"/>
    </sheetView>
  </sheetViews>
  <sheetFormatPr defaultRowHeight="15"/>
  <cols>
    <col min="1" max="1" width="8.796875" style="110"/>
    <col min="2" max="2" width="30" style="111" customWidth="1"/>
    <col min="3" max="3" width="8.796875" style="103"/>
    <col min="4" max="4" width="8.796875" style="112"/>
    <col min="5" max="5" width="8" style="103" customWidth="1"/>
    <col min="6" max="6" width="11.5" style="113" customWidth="1"/>
    <col min="7" max="16384" width="8.796875" style="103"/>
  </cols>
  <sheetData>
    <row r="1" spans="1:6" ht="18.75">
      <c r="A1" s="223" t="s">
        <v>131</v>
      </c>
      <c r="B1" s="223"/>
      <c r="C1" s="223"/>
      <c r="D1" s="223"/>
      <c r="E1" s="223"/>
      <c r="F1" s="223"/>
    </row>
    <row r="2" spans="1:6" ht="18.75">
      <c r="A2" s="223" t="s">
        <v>81</v>
      </c>
      <c r="B2" s="223"/>
      <c r="C2" s="223"/>
      <c r="D2" s="223"/>
      <c r="E2" s="223"/>
      <c r="F2" s="223"/>
    </row>
    <row r="3" spans="1:6" ht="75.75" customHeight="1">
      <c r="A3" s="224" t="s">
        <v>140</v>
      </c>
      <c r="B3" s="224"/>
      <c r="C3" s="224"/>
      <c r="D3" s="224"/>
      <c r="E3" s="224"/>
      <c r="F3" s="224"/>
    </row>
    <row r="4" spans="1:6">
      <c r="A4" s="104" t="s">
        <v>83</v>
      </c>
      <c r="B4" s="104" t="s">
        <v>84</v>
      </c>
      <c r="C4" s="104" t="s">
        <v>85</v>
      </c>
      <c r="D4" s="104" t="s">
        <v>6</v>
      </c>
      <c r="E4" s="104" t="s">
        <v>86</v>
      </c>
      <c r="F4" s="104" t="s">
        <v>87</v>
      </c>
    </row>
    <row r="5" spans="1:6" ht="75">
      <c r="A5" s="106" t="s">
        <v>141</v>
      </c>
      <c r="B5" s="106" t="s">
        <v>142</v>
      </c>
      <c r="C5" s="106">
        <v>123.36</v>
      </c>
      <c r="D5" s="106" t="s">
        <v>91</v>
      </c>
      <c r="E5" s="106">
        <v>4961.7299999999996</v>
      </c>
      <c r="F5" s="106">
        <f>C5*E5</f>
        <v>612079.01279999991</v>
      </c>
    </row>
    <row r="6" spans="1:6" ht="60">
      <c r="A6" s="106" t="s">
        <v>143</v>
      </c>
      <c r="B6" s="106" t="s">
        <v>144</v>
      </c>
      <c r="C6" s="106">
        <v>67.47</v>
      </c>
      <c r="D6" s="106" t="s">
        <v>100</v>
      </c>
      <c r="E6" s="106">
        <v>194.5</v>
      </c>
      <c r="F6" s="106">
        <f t="shared" ref="F6:F9" si="0">C6*E6</f>
        <v>13122.914999999999</v>
      </c>
    </row>
    <row r="7" spans="1:6">
      <c r="A7" s="105">
        <v>3</v>
      </c>
      <c r="B7" s="106" t="s">
        <v>101</v>
      </c>
      <c r="C7" s="106"/>
      <c r="D7" s="106"/>
      <c r="E7" s="106"/>
      <c r="F7" s="106"/>
    </row>
    <row r="8" spans="1:6" ht="16.5">
      <c r="A8" s="106" t="s">
        <v>22</v>
      </c>
      <c r="B8" s="106" t="s">
        <v>145</v>
      </c>
      <c r="C8" s="106">
        <v>52.92</v>
      </c>
      <c r="D8" s="106" t="s">
        <v>127</v>
      </c>
      <c r="E8" s="106">
        <v>744.66</v>
      </c>
      <c r="F8" s="106">
        <f t="shared" si="0"/>
        <v>39407.407200000001</v>
      </c>
    </row>
    <row r="9" spans="1:6" ht="16.5">
      <c r="A9" s="106" t="s">
        <v>26</v>
      </c>
      <c r="B9" s="106" t="s">
        <v>139</v>
      </c>
      <c r="C9" s="106">
        <v>105.84</v>
      </c>
      <c r="D9" s="106" t="s">
        <v>127</v>
      </c>
      <c r="E9" s="106">
        <v>342.9</v>
      </c>
      <c r="F9" s="106">
        <f t="shared" si="0"/>
        <v>36292.536</v>
      </c>
    </row>
    <row r="10" spans="1:6">
      <c r="A10" s="106"/>
      <c r="B10" s="106"/>
      <c r="C10" s="106"/>
      <c r="D10" s="106"/>
      <c r="E10" s="106" t="s">
        <v>46</v>
      </c>
      <c r="F10" s="106">
        <f>SUM(F5:F9)</f>
        <v>700901.87099999993</v>
      </c>
    </row>
    <row r="11" spans="1:6">
      <c r="A11" s="107"/>
      <c r="B11" s="108"/>
      <c r="C11" s="109"/>
      <c r="D11" s="105"/>
      <c r="E11" s="106" t="s">
        <v>112</v>
      </c>
      <c r="F11" s="106">
        <f>F10*18/100</f>
        <v>126162.33678</v>
      </c>
    </row>
    <row r="12" spans="1:6">
      <c r="A12" s="107"/>
      <c r="B12" s="108"/>
      <c r="C12" s="109"/>
      <c r="D12" s="105"/>
      <c r="E12" s="106"/>
      <c r="F12" s="106">
        <f>F11+F10</f>
        <v>827064.20777999994</v>
      </c>
    </row>
    <row r="13" spans="1:6">
      <c r="A13" s="107"/>
      <c r="B13" s="108"/>
      <c r="C13" s="109"/>
      <c r="D13" s="105"/>
      <c r="E13" s="106" t="s">
        <v>113</v>
      </c>
      <c r="F13" s="106">
        <f>F12*1/100</f>
        <v>8270.6420777999992</v>
      </c>
    </row>
    <row r="14" spans="1:6">
      <c r="A14" s="107"/>
      <c r="B14" s="108"/>
      <c r="C14" s="109"/>
      <c r="D14" s="105"/>
      <c r="E14" s="106" t="s">
        <v>32</v>
      </c>
      <c r="F14" s="106">
        <f>F13+F12</f>
        <v>835334.84985779994</v>
      </c>
    </row>
  </sheetData>
  <mergeCells count="3">
    <mergeCell ref="A1:F1"/>
    <mergeCell ref="A2:F2"/>
    <mergeCell ref="A3:F3"/>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F49"/>
  <sheetViews>
    <sheetView workbookViewId="0">
      <selection activeCell="A3" sqref="A3:F3"/>
    </sheetView>
  </sheetViews>
  <sheetFormatPr defaultRowHeight="18.75"/>
  <cols>
    <col min="1" max="1" width="6.296875" customWidth="1"/>
    <col min="2" max="2" width="30.8984375" customWidth="1"/>
    <col min="3" max="3" width="8.19921875" customWidth="1"/>
    <col min="4" max="4" width="3.69921875" customWidth="1"/>
    <col min="5" max="5" width="8.19921875" customWidth="1"/>
    <col min="6" max="6" width="14.19921875" customWidth="1"/>
  </cols>
  <sheetData>
    <row r="1" spans="1:6">
      <c r="A1" s="300" t="s">
        <v>36</v>
      </c>
      <c r="B1" s="301"/>
      <c r="C1" s="301"/>
      <c r="D1" s="301"/>
      <c r="E1" s="301"/>
      <c r="F1" s="301"/>
    </row>
    <row r="2" spans="1:6">
      <c r="A2" s="302" t="s">
        <v>1</v>
      </c>
      <c r="B2" s="302"/>
      <c r="C2" s="302"/>
      <c r="D2" s="302"/>
      <c r="E2" s="302"/>
      <c r="F2" s="302"/>
    </row>
    <row r="3" spans="1:6" ht="45" customHeight="1">
      <c r="A3" s="303" t="s">
        <v>146</v>
      </c>
      <c r="B3" s="303"/>
      <c r="C3" s="303"/>
      <c r="D3" s="303"/>
      <c r="E3" s="303"/>
      <c r="F3" s="303"/>
    </row>
    <row r="4" spans="1:6" ht="30.75">
      <c r="A4" s="108" t="s">
        <v>38</v>
      </c>
      <c r="B4" s="109" t="s">
        <v>39</v>
      </c>
      <c r="C4" s="146" t="s">
        <v>5</v>
      </c>
      <c r="D4" s="109" t="s">
        <v>6</v>
      </c>
      <c r="E4" s="147" t="s">
        <v>147</v>
      </c>
      <c r="F4" s="148" t="s">
        <v>148</v>
      </c>
    </row>
    <row r="5" spans="1:6" ht="147.75" customHeight="1">
      <c r="A5" s="108" t="s">
        <v>149</v>
      </c>
      <c r="B5" s="149" t="s">
        <v>150</v>
      </c>
      <c r="C5" s="150">
        <f>'[13]DETAILED ESTIMATE'!G7</f>
        <v>50.093457943925237</v>
      </c>
      <c r="D5" s="150" t="s">
        <v>11</v>
      </c>
      <c r="E5" s="150">
        <v>167.33</v>
      </c>
      <c r="F5" s="150">
        <f>PRODUCT(C5,E5)</f>
        <v>8382.1383177570115</v>
      </c>
    </row>
    <row r="6" spans="1:6" ht="103.5" customHeight="1">
      <c r="A6" s="132" t="s">
        <v>151</v>
      </c>
      <c r="B6" s="149" t="s">
        <v>152</v>
      </c>
      <c r="C6" s="150">
        <f>'[13]DETAILED ESTIMATE'!G11</f>
        <v>50.093457943925237</v>
      </c>
      <c r="D6" s="150" t="s">
        <v>11</v>
      </c>
      <c r="E6" s="150">
        <v>1437.6</v>
      </c>
      <c r="F6" s="150">
        <f>PRODUCT(C6,E6)</f>
        <v>72014.355140186919</v>
      </c>
    </row>
    <row r="7" spans="1:6" ht="60">
      <c r="A7" s="151" t="s">
        <v>153</v>
      </c>
      <c r="B7" s="152" t="s">
        <v>144</v>
      </c>
      <c r="C7" s="150">
        <f>'[13]DETAILED ESTIMATE'!G16</f>
        <v>20.446096654275092</v>
      </c>
      <c r="D7" s="150" t="s">
        <v>100</v>
      </c>
      <c r="E7" s="109">
        <v>194.5</v>
      </c>
      <c r="F7" s="150">
        <f t="shared" ref="F7:F8" si="0">PRODUCT(C7,E7)</f>
        <v>3976.7657992565055</v>
      </c>
    </row>
    <row r="8" spans="1:6" ht="82.5" customHeight="1">
      <c r="A8" s="147" t="s">
        <v>154</v>
      </c>
      <c r="B8" s="147" t="s">
        <v>155</v>
      </c>
      <c r="C8" s="153">
        <f>'[13]DETAILED ESTIMATE'!G21</f>
        <v>31.15264797507788</v>
      </c>
      <c r="D8" s="150" t="s">
        <v>116</v>
      </c>
      <c r="E8" s="150">
        <v>4961.7299999999996</v>
      </c>
      <c r="F8" s="150">
        <f t="shared" si="0"/>
        <v>154571.02803738316</v>
      </c>
    </row>
    <row r="9" spans="1:6">
      <c r="A9" s="108">
        <v>6</v>
      </c>
      <c r="B9" s="154" t="s">
        <v>21</v>
      </c>
      <c r="C9" s="155"/>
      <c r="D9" s="140"/>
      <c r="E9" s="156"/>
      <c r="F9" s="155"/>
    </row>
    <row r="10" spans="1:6">
      <c r="A10" s="151"/>
      <c r="B10" s="109" t="s">
        <v>145</v>
      </c>
      <c r="C10" s="140">
        <f>PRODUCT('[13]MATERIAL STATEMENT'!F7)</f>
        <v>13.395638629283487</v>
      </c>
      <c r="D10" s="140" t="s">
        <v>11</v>
      </c>
      <c r="E10" s="150">
        <v>744.66</v>
      </c>
      <c r="F10" s="140">
        <f t="shared" ref="F10:F12" si="1">PRODUCT(C10:E10)</f>
        <v>9975.196261682242</v>
      </c>
    </row>
    <row r="11" spans="1:6">
      <c r="A11" s="151"/>
      <c r="B11" s="150" t="s">
        <v>156</v>
      </c>
      <c r="C11" s="140">
        <f>PRODUCT('[13]MATERIAL STATEMENT'!G7)</f>
        <v>94.21707165109035</v>
      </c>
      <c r="D11" s="140" t="s">
        <v>11</v>
      </c>
      <c r="E11" s="150">
        <v>342.9</v>
      </c>
      <c r="F11" s="140">
        <f t="shared" si="1"/>
        <v>32307.03386915888</v>
      </c>
    </row>
    <row r="12" spans="1:6">
      <c r="A12" s="151"/>
      <c r="B12" s="148" t="s">
        <v>157</v>
      </c>
      <c r="C12" s="140">
        <f>PRODUCT('[13]MATERIAL STATEMENT'!H7)</f>
        <v>50.093457943925237</v>
      </c>
      <c r="D12" s="140" t="s">
        <v>11</v>
      </c>
      <c r="E12" s="148">
        <v>117.54</v>
      </c>
      <c r="F12" s="140">
        <f t="shared" si="1"/>
        <v>5887.9850467289725</v>
      </c>
    </row>
    <row r="13" spans="1:6">
      <c r="A13" s="151"/>
      <c r="B13" s="151"/>
      <c r="C13" s="298" t="s">
        <v>32</v>
      </c>
      <c r="D13" s="298"/>
      <c r="E13" s="299"/>
      <c r="F13" s="150">
        <f>SUM(F5:F12)</f>
        <v>287114.50247215369</v>
      </c>
    </row>
    <row r="14" spans="1:6">
      <c r="A14" s="151"/>
      <c r="B14" s="151"/>
      <c r="C14" s="298" t="s">
        <v>158</v>
      </c>
      <c r="D14" s="298"/>
      <c r="E14" s="299"/>
      <c r="F14" s="150">
        <f>F13*18%</f>
        <v>51680.610444987666</v>
      </c>
    </row>
    <row r="15" spans="1:6">
      <c r="A15" s="151"/>
      <c r="B15" s="151"/>
      <c r="C15" s="157"/>
      <c r="D15" s="157"/>
      <c r="E15" s="158" t="s">
        <v>32</v>
      </c>
      <c r="F15" s="150">
        <f>F13+F14</f>
        <v>338795.11291714135</v>
      </c>
    </row>
    <row r="16" spans="1:6">
      <c r="A16" s="151"/>
      <c r="B16" s="151"/>
      <c r="C16" s="298" t="s">
        <v>159</v>
      </c>
      <c r="D16" s="298"/>
      <c r="E16" s="299"/>
      <c r="F16" s="150">
        <f>PRODUCT(F15,0.01)</f>
        <v>3387.9511291714134</v>
      </c>
    </row>
    <row r="17" spans="1:6">
      <c r="A17" s="151"/>
      <c r="B17" s="151"/>
      <c r="C17" s="298" t="s">
        <v>32</v>
      </c>
      <c r="D17" s="298"/>
      <c r="E17" s="299"/>
      <c r="F17" s="150">
        <f>F15+F16</f>
        <v>342183.06404631276</v>
      </c>
    </row>
    <row r="18" spans="1:6">
      <c r="A18" s="159"/>
      <c r="B18" s="160"/>
      <c r="C18" s="160"/>
      <c r="D18" s="160"/>
      <c r="E18" s="160"/>
      <c r="F18" s="160"/>
    </row>
    <row r="19" spans="1:6">
      <c r="A19" s="159"/>
      <c r="B19" s="160"/>
      <c r="C19" s="160"/>
      <c r="D19" s="160"/>
      <c r="E19" s="160"/>
      <c r="F19" s="160"/>
    </row>
    <row r="20" spans="1:6">
      <c r="C20" s="35"/>
      <c r="D20" s="35"/>
      <c r="E20" s="35"/>
      <c r="F20" s="35"/>
    </row>
    <row r="21" spans="1:6">
      <c r="C21" s="35"/>
      <c r="D21" s="35"/>
      <c r="E21" s="35"/>
      <c r="F21" s="35"/>
    </row>
    <row r="22" spans="1:6">
      <c r="C22" s="35"/>
      <c r="D22" s="35"/>
      <c r="E22" s="35"/>
      <c r="F22" s="35"/>
    </row>
    <row r="23" spans="1:6">
      <c r="C23" s="35"/>
      <c r="D23" s="35"/>
      <c r="E23" s="35"/>
      <c r="F23" s="35"/>
    </row>
    <row r="24" spans="1:6">
      <c r="C24" s="35"/>
      <c r="D24" s="35"/>
      <c r="E24" s="35"/>
      <c r="F24" s="35"/>
    </row>
    <row r="25" spans="1:6">
      <c r="C25" s="35"/>
      <c r="D25" s="35"/>
      <c r="E25" s="35"/>
      <c r="F25" s="35"/>
    </row>
    <row r="26" spans="1:6">
      <c r="C26" s="35"/>
      <c r="D26" s="35"/>
      <c r="E26" s="35"/>
      <c r="F26" s="35"/>
    </row>
    <row r="27" spans="1:6">
      <c r="C27" s="35"/>
      <c r="D27" s="35"/>
      <c r="E27" s="35"/>
      <c r="F27" s="35"/>
    </row>
    <row r="28" spans="1:6">
      <c r="C28" s="35"/>
      <c r="D28" s="35"/>
      <c r="E28" s="35"/>
      <c r="F28" s="35"/>
    </row>
    <row r="29" spans="1:6">
      <c r="C29" s="35"/>
      <c r="D29" s="35"/>
      <c r="E29" s="35"/>
      <c r="F29" s="35"/>
    </row>
    <row r="30" spans="1:6">
      <c r="C30" s="35"/>
      <c r="D30" s="35"/>
      <c r="E30" s="35"/>
      <c r="F30" s="35"/>
    </row>
    <row r="31" spans="1:6">
      <c r="C31" s="35"/>
      <c r="D31" s="35"/>
      <c r="E31" s="35"/>
      <c r="F31" s="35"/>
    </row>
    <row r="32" spans="1:6">
      <c r="C32" s="35"/>
      <c r="D32" s="35"/>
      <c r="E32" s="35"/>
      <c r="F32" s="35"/>
    </row>
    <row r="33" spans="3:6">
      <c r="C33" s="35"/>
      <c r="D33" s="35"/>
      <c r="E33" s="35"/>
      <c r="F33" s="35"/>
    </row>
    <row r="34" spans="3:6">
      <c r="C34" s="35"/>
      <c r="D34" s="35"/>
      <c r="E34" s="35"/>
      <c r="F34" s="35"/>
    </row>
    <row r="35" spans="3:6">
      <c r="C35" s="35"/>
      <c r="D35" s="35"/>
      <c r="E35" s="35"/>
      <c r="F35" s="35"/>
    </row>
    <row r="36" spans="3:6">
      <c r="C36" s="35"/>
      <c r="D36" s="35"/>
      <c r="E36" s="35"/>
      <c r="F36" s="35"/>
    </row>
    <row r="37" spans="3:6">
      <c r="C37" s="35"/>
      <c r="D37" s="35"/>
      <c r="E37" s="35"/>
      <c r="F37" s="35"/>
    </row>
    <row r="38" spans="3:6">
      <c r="C38" s="35"/>
      <c r="D38" s="35"/>
      <c r="E38" s="35"/>
      <c r="F38" s="35"/>
    </row>
    <row r="39" spans="3:6">
      <c r="C39" s="35"/>
      <c r="D39" s="35"/>
      <c r="E39" s="35"/>
      <c r="F39" s="35"/>
    </row>
    <row r="40" spans="3:6">
      <c r="C40" s="35"/>
      <c r="D40" s="35"/>
      <c r="E40" s="35"/>
      <c r="F40" s="35"/>
    </row>
    <row r="41" spans="3:6">
      <c r="C41" s="35"/>
      <c r="D41" s="35"/>
      <c r="E41" s="35"/>
      <c r="F41" s="35"/>
    </row>
    <row r="42" spans="3:6">
      <c r="C42" s="35"/>
      <c r="D42" s="35"/>
      <c r="E42" s="35"/>
      <c r="F42" s="35"/>
    </row>
    <row r="43" spans="3:6">
      <c r="C43" s="35"/>
      <c r="D43" s="35"/>
      <c r="E43" s="35"/>
      <c r="F43" s="35"/>
    </row>
    <row r="44" spans="3:6">
      <c r="C44" s="35"/>
      <c r="D44" s="35"/>
      <c r="E44" s="35"/>
      <c r="F44" s="35"/>
    </row>
    <row r="45" spans="3:6">
      <c r="C45" s="35"/>
      <c r="D45" s="35"/>
      <c r="E45" s="35"/>
      <c r="F45" s="35"/>
    </row>
    <row r="46" spans="3:6">
      <c r="C46" s="35"/>
      <c r="D46" s="35"/>
      <c r="E46" s="35"/>
      <c r="F46" s="35"/>
    </row>
    <row r="47" spans="3:6">
      <c r="C47" s="35"/>
      <c r="D47" s="35"/>
      <c r="E47" s="35"/>
      <c r="F47" s="35"/>
    </row>
    <row r="48" spans="3:6">
      <c r="C48" s="35"/>
      <c r="D48" s="35"/>
      <c r="E48" s="35"/>
      <c r="F48" s="35"/>
    </row>
    <row r="49" spans="3:6">
      <c r="C49" s="35"/>
      <c r="D49" s="35"/>
      <c r="E49" s="35"/>
      <c r="F49" s="35"/>
    </row>
  </sheetData>
  <mergeCells count="7">
    <mergeCell ref="C17:E17"/>
    <mergeCell ref="A1:F1"/>
    <mergeCell ref="A2:F2"/>
    <mergeCell ref="A3:F3"/>
    <mergeCell ref="C13:E13"/>
    <mergeCell ref="C14:E14"/>
    <mergeCell ref="C16:E16"/>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F27"/>
  <sheetViews>
    <sheetView workbookViewId="0">
      <selection activeCell="A3" sqref="A3:F3"/>
    </sheetView>
  </sheetViews>
  <sheetFormatPr defaultRowHeight="18.75"/>
  <cols>
    <col min="2" max="2" width="36" customWidth="1"/>
    <col min="3" max="3" width="8.796875" style="195"/>
    <col min="6" max="6" width="10.69921875" bestFit="1" customWidth="1"/>
  </cols>
  <sheetData>
    <row r="1" spans="1:6" ht="20.25">
      <c r="A1" s="290" t="s">
        <v>50</v>
      </c>
      <c r="B1" s="291"/>
      <c r="C1" s="291"/>
      <c r="D1" s="291"/>
      <c r="E1" s="291"/>
      <c r="F1" s="292"/>
    </row>
    <row r="2" spans="1:6" ht="18" customHeight="1">
      <c r="A2" s="293" t="s">
        <v>51</v>
      </c>
      <c r="B2" s="294"/>
      <c r="C2" s="294"/>
      <c r="D2" s="294"/>
      <c r="E2" s="294"/>
      <c r="F2" s="295"/>
    </row>
    <row r="3" spans="1:6" ht="32.450000000000003" customHeight="1">
      <c r="A3" s="304" t="str">
        <f>[14]ESTIMATE!A2</f>
        <v>Name of Work :-CONSTRUCTION OF PCC R0AD AT EKTA NAGAR HOUSE OF MANOJ SARMA TO HOUSE OF RAMSHAN SINGH VIA SURANR SINGH UNDER WARD NO-52</v>
      </c>
      <c r="B3" s="305"/>
      <c r="C3" s="305"/>
      <c r="D3" s="305"/>
      <c r="E3" s="305"/>
      <c r="F3" s="306"/>
    </row>
    <row r="4" spans="1:6" ht="31.5">
      <c r="A4" s="196" t="s">
        <v>52</v>
      </c>
      <c r="B4" s="197" t="s">
        <v>39</v>
      </c>
      <c r="C4" s="197" t="s">
        <v>5</v>
      </c>
      <c r="D4" s="197" t="s">
        <v>6</v>
      </c>
      <c r="E4" s="196" t="s">
        <v>53</v>
      </c>
      <c r="F4" s="196" t="s">
        <v>54</v>
      </c>
    </row>
    <row r="5" spans="1:6" ht="28.5">
      <c r="A5" s="39">
        <v>1</v>
      </c>
      <c r="B5" s="163" t="str">
        <f>[14]ESTIMATE!B4</f>
        <v>Labour for site clearence before and after the work etc.</v>
      </c>
      <c r="C5" s="199">
        <f>[14]ESTIMATE!G4</f>
        <v>5</v>
      </c>
      <c r="D5" s="200" t="str">
        <f>[14]ESTIMATE!H4</f>
        <v>No.</v>
      </c>
      <c r="E5" s="199">
        <f>[14]ESTIMATE!I4</f>
        <v>326.85000000000002</v>
      </c>
      <c r="F5" s="199">
        <f t="shared" ref="F5:F10" si="0">ROUND(C5*E5,2)</f>
        <v>1634.25</v>
      </c>
    </row>
    <row r="6" spans="1:6" ht="120">
      <c r="A6" s="196" t="str">
        <f>[14]ESTIMATE!A5</f>
        <v>2       5.1.1.</v>
      </c>
      <c r="B6" s="198" t="str">
        <f>[14]ESTIMATE!B5</f>
        <v xml:space="preserve">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                                                                              </v>
      </c>
      <c r="C6" s="199">
        <f>[14]ESTIMATE!G8</f>
        <v>132.06</v>
      </c>
      <c r="D6" s="200" t="s">
        <v>11</v>
      </c>
      <c r="E6" s="199">
        <f>[14]ESTIMATE!I8</f>
        <v>151.82</v>
      </c>
      <c r="F6" s="199">
        <f t="shared" si="0"/>
        <v>20049.349999999999</v>
      </c>
    </row>
    <row r="7" spans="1:6" ht="120">
      <c r="A7" s="196" t="str">
        <f>[14]ESTIMATE!A9</f>
        <v>3.           M-004</v>
      </c>
      <c r="B7" s="198" t="str">
        <f>[14]ESTIMATE!B9</f>
        <v xml:space="preserve">Providing stone cruster dust finer than 3mm with not more than 10% passing 0.075 sieve at Quarry in filling in foundation trenches or in plinth including  ramming and watering in layers not exceeding 150 mm thick with all leads and lifts including cost of materials , labour , royalty and taxes all complete as per specification and  direction of E/I. (Mode of measurement compacted volume. )                               </v>
      </c>
      <c r="C7" s="199">
        <f>[14]ESTIMATE!G12</f>
        <v>49.28</v>
      </c>
      <c r="D7" s="200" t="s">
        <v>11</v>
      </c>
      <c r="E7" s="199">
        <f>[14]ESTIMATE!I12</f>
        <v>347.85</v>
      </c>
      <c r="F7" s="199">
        <f t="shared" si="0"/>
        <v>17142.05</v>
      </c>
    </row>
    <row r="8" spans="1:6" ht="75">
      <c r="A8" s="196" t="str">
        <f>[14]ESTIMATE!A13</f>
        <v>4.       5.6.8 (C.I.W.)</v>
      </c>
      <c r="B8" s="198" t="str">
        <f>[14]ESTIMATE!B13</f>
        <v>Supplying and laying (properly as per design and drawing )rip-rap with good quality of boulders duly packed including the cost of materials,royalty all taxes etc.but excluding the cost of carriage, all complete as per specification and direction of E/I.</v>
      </c>
      <c r="C8" s="199">
        <f>[14]ESTIMATE!G16</f>
        <v>82.79</v>
      </c>
      <c r="D8" s="200" t="s">
        <v>11</v>
      </c>
      <c r="E8" s="199">
        <f>[14]ESTIMATE!I16</f>
        <v>1756.4</v>
      </c>
      <c r="F8" s="199">
        <f t="shared" si="0"/>
        <v>145412.35999999999</v>
      </c>
    </row>
    <row r="9" spans="1:6" ht="65.099999999999994" customHeight="1">
      <c r="A9" s="196" t="str">
        <f>[14]ESTIMATE!A17</f>
        <v>5.     5.3.1.1</v>
      </c>
      <c r="B9" s="201" t="str">
        <f>[14]ESTIMATE!B17</f>
        <v xml:space="preserve">Providing and laying in position cement concrete of specified grade excluding the cost of centering and shuttering- All work upto plinth level : 1:1½:3 (1 cemet : 1½ coarse sand (zone-iii) : 3 graded stone aggregate 20mm nominal size )  </v>
      </c>
      <c r="C9" s="199">
        <f>[14]ESTIMATE!G20</f>
        <v>98.56</v>
      </c>
      <c r="D9" s="200" t="s">
        <v>11</v>
      </c>
      <c r="E9" s="199">
        <f>[14]ESTIMATE!I20</f>
        <v>4961.7299999999996</v>
      </c>
      <c r="F9" s="199">
        <f t="shared" si="0"/>
        <v>489028.11</v>
      </c>
    </row>
    <row r="10" spans="1:6" ht="60">
      <c r="A10" s="196" t="str">
        <f>[14]ESTIMATE!A21</f>
        <v>6               5.3.17.1</v>
      </c>
      <c r="B10" s="198" t="str">
        <f>[14]ESTIMATE!B21</f>
        <v>Centering and shuttering including strutting, propping etc. and removal of from for Foundations, footings, bases of columns, etc. for mass concrete.</v>
      </c>
      <c r="C10" s="199">
        <f>[14]ESTIMATE!G24</f>
        <v>53.9</v>
      </c>
      <c r="D10" s="202" t="s">
        <v>20</v>
      </c>
      <c r="E10" s="196">
        <f>[14]ESTIMATE!I24</f>
        <v>194.5</v>
      </c>
      <c r="F10" s="213">
        <f t="shared" si="0"/>
        <v>10483.549999999999</v>
      </c>
    </row>
    <row r="11" spans="1:6">
      <c r="A11" s="196">
        <f>[14]ESTIMATE!A25</f>
        <v>7</v>
      </c>
      <c r="B11" s="203" t="s">
        <v>21</v>
      </c>
      <c r="C11" s="199"/>
      <c r="D11" s="204"/>
      <c r="E11" s="205"/>
      <c r="F11" s="199"/>
    </row>
    <row r="12" spans="1:6">
      <c r="A12" s="206" t="s">
        <v>22</v>
      </c>
      <c r="B12" s="207" t="str">
        <f>[14]ESTIMATE!B26</f>
        <v>SAND-LEAD-42KM</v>
      </c>
      <c r="C12" s="199">
        <f>PRODUCT('[14]MATERIAL '!F7)</f>
        <v>42.38</v>
      </c>
      <c r="D12" s="204" t="s">
        <v>11</v>
      </c>
      <c r="E12" s="39">
        <f>[14]ESTIMATE!I26</f>
        <v>744.66</v>
      </c>
      <c r="F12" s="199">
        <f t="shared" ref="F12:F16" si="1">ROUND(C12*E12,2)</f>
        <v>31558.69</v>
      </c>
    </row>
    <row r="13" spans="1:6">
      <c r="A13" s="206" t="s">
        <v>24</v>
      </c>
      <c r="B13" s="208" t="str">
        <f>[14]ESTIMATE!B27</f>
        <v>STONE DUST-LEAD-15KM</v>
      </c>
      <c r="C13" s="199">
        <f>PRODUCT('[14]MATERIAL '!G7)</f>
        <v>49.28</v>
      </c>
      <c r="D13" s="204" t="s">
        <v>11</v>
      </c>
      <c r="E13" s="176">
        <f>[14]ESTIMATE!I27</f>
        <v>342.9</v>
      </c>
      <c r="F13" s="199">
        <f t="shared" si="1"/>
        <v>16898.11</v>
      </c>
    </row>
    <row r="14" spans="1:6">
      <c r="A14" s="206" t="s">
        <v>26</v>
      </c>
      <c r="B14" s="208" t="str">
        <f>[14]ESTIMATE!B28</f>
        <v>STONE CHIPS-LEAD-15KM</v>
      </c>
      <c r="C14" s="199">
        <f>PRODUCT('[14]MATERIAL '!H7)</f>
        <v>84.76</v>
      </c>
      <c r="D14" s="204" t="s">
        <v>11</v>
      </c>
      <c r="E14" s="176">
        <f>[14]ESTIMATE!I28</f>
        <v>342.9</v>
      </c>
      <c r="F14" s="199">
        <f t="shared" si="1"/>
        <v>29064.2</v>
      </c>
    </row>
    <row r="15" spans="1:6">
      <c r="A15" s="206" t="s">
        <v>28</v>
      </c>
      <c r="B15" s="208" t="str">
        <f>[14]ESTIMATE!B29</f>
        <v>BOULDER-LEAD-29KM</v>
      </c>
      <c r="C15" s="199">
        <f>PRODUCT('[14]MATERIAL '!I7)</f>
        <v>82.79</v>
      </c>
      <c r="D15" s="204" t="s">
        <v>11</v>
      </c>
      <c r="E15" s="39">
        <f>[14]ESTIMATE!I29</f>
        <v>570.94000000000005</v>
      </c>
      <c r="F15" s="199">
        <f t="shared" si="1"/>
        <v>47268.12</v>
      </c>
    </row>
    <row r="16" spans="1:6">
      <c r="A16" s="206" t="s">
        <v>30</v>
      </c>
      <c r="B16" s="198" t="str">
        <f>[14]ESTIMATE!B30</f>
        <v>EARTH-LEAD-01km</v>
      </c>
      <c r="C16" s="199">
        <f>PRODUCT('[14]MATERIAL '!J7)</f>
        <v>132.06</v>
      </c>
      <c r="D16" s="204" t="s">
        <v>11</v>
      </c>
      <c r="E16" s="176">
        <f>[14]ESTIMATE!I30</f>
        <v>117.54</v>
      </c>
      <c r="F16" s="199">
        <f t="shared" si="1"/>
        <v>15522.33</v>
      </c>
    </row>
    <row r="17" spans="1:6">
      <c r="A17" s="209"/>
      <c r="B17" s="209"/>
      <c r="C17" s="276" t="s">
        <v>46</v>
      </c>
      <c r="D17" s="276"/>
      <c r="E17" s="276"/>
      <c r="F17" s="191">
        <f>SUM(F5:F16)</f>
        <v>824061.11999999988</v>
      </c>
    </row>
    <row r="18" spans="1:6">
      <c r="A18" s="209"/>
      <c r="B18" s="209"/>
      <c r="C18" s="276" t="s">
        <v>47</v>
      </c>
      <c r="D18" s="276"/>
      <c r="E18" s="276"/>
      <c r="F18" s="191">
        <f>F17*18%</f>
        <v>148331.00159999996</v>
      </c>
    </row>
    <row r="19" spans="1:6">
      <c r="A19" s="209"/>
      <c r="B19" s="209"/>
      <c r="C19" s="276" t="s">
        <v>46</v>
      </c>
      <c r="D19" s="276"/>
      <c r="E19" s="276"/>
      <c r="F19" s="191">
        <f>SUM(F17:F18)</f>
        <v>972392.12159999984</v>
      </c>
    </row>
    <row r="20" spans="1:6">
      <c r="A20" s="209"/>
      <c r="B20" s="209"/>
      <c r="C20" s="276" t="s">
        <v>48</v>
      </c>
      <c r="D20" s="276"/>
      <c r="E20" s="276"/>
      <c r="F20" s="191">
        <f>ROUND(F19*0.01,2)</f>
        <v>9723.92</v>
      </c>
    </row>
    <row r="21" spans="1:6">
      <c r="A21" s="209"/>
      <c r="B21" s="209"/>
      <c r="C21" s="276" t="s">
        <v>32</v>
      </c>
      <c r="D21" s="276"/>
      <c r="E21" s="276"/>
      <c r="F21" s="191">
        <f>SUM(F19:F20)</f>
        <v>982116.04159999988</v>
      </c>
    </row>
    <row r="22" spans="1:6">
      <c r="A22" s="210"/>
      <c r="B22" s="210"/>
      <c r="C22" s="214"/>
      <c r="D22" s="211"/>
      <c r="E22" s="211"/>
      <c r="F22" s="212"/>
    </row>
    <row r="23" spans="1:6">
      <c r="A23" s="210"/>
      <c r="B23" s="210"/>
      <c r="C23" s="214"/>
      <c r="D23" s="211"/>
      <c r="E23" s="211"/>
      <c r="F23" s="212"/>
    </row>
    <row r="24" spans="1:6">
      <c r="A24" s="184"/>
    </row>
    <row r="25" spans="1:6">
      <c r="A25" s="184"/>
    </row>
    <row r="26" spans="1:6">
      <c r="A26" s="184"/>
      <c r="B26" s="185"/>
      <c r="C26" s="186"/>
      <c r="F26" s="187"/>
    </row>
    <row r="27" spans="1:6">
      <c r="A27" s="184"/>
      <c r="B27" s="185"/>
      <c r="C27" s="186"/>
      <c r="F27" s="187"/>
    </row>
  </sheetData>
  <mergeCells count="8">
    <mergeCell ref="C20:E20"/>
    <mergeCell ref="C21:E21"/>
    <mergeCell ref="A1:F1"/>
    <mergeCell ref="A2:F2"/>
    <mergeCell ref="A3:F3"/>
    <mergeCell ref="C17:E17"/>
    <mergeCell ref="C18:E18"/>
    <mergeCell ref="C19:E19"/>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48"/>
  <sheetViews>
    <sheetView workbookViewId="0">
      <selection activeCell="A3" sqref="A3:F3"/>
    </sheetView>
  </sheetViews>
  <sheetFormatPr defaultRowHeight="18.75"/>
  <cols>
    <col min="1" max="1" width="5.3984375" customWidth="1"/>
    <col min="2" max="2" width="35.296875" customWidth="1"/>
    <col min="3" max="3" width="6" customWidth="1"/>
    <col min="4" max="4" width="3.59765625" bestFit="1" customWidth="1"/>
    <col min="5" max="5" width="7.19921875" customWidth="1"/>
    <col min="6" max="6" width="13.19921875" customWidth="1"/>
  </cols>
  <sheetData>
    <row r="1" spans="1:6" ht="34.5" customHeight="1">
      <c r="A1" s="218" t="s">
        <v>0</v>
      </c>
      <c r="B1" s="218"/>
      <c r="C1" s="218"/>
      <c r="D1" s="218"/>
      <c r="E1" s="218"/>
      <c r="F1" s="218"/>
    </row>
    <row r="2" spans="1:6" ht="18.75" customHeight="1">
      <c r="A2" s="219" t="s">
        <v>1</v>
      </c>
      <c r="B2" s="220"/>
      <c r="C2" s="220"/>
      <c r="D2" s="220"/>
      <c r="E2" s="220"/>
      <c r="F2" s="221"/>
    </row>
    <row r="3" spans="1:6" ht="38.25" customHeight="1">
      <c r="A3" s="222" t="s">
        <v>2</v>
      </c>
      <c r="B3" s="222"/>
      <c r="C3" s="222"/>
      <c r="D3" s="222"/>
      <c r="E3" s="222"/>
      <c r="F3" s="222"/>
    </row>
    <row r="4" spans="1:6" ht="21" customHeight="1">
      <c r="A4" s="1" t="s">
        <v>3</v>
      </c>
      <c r="B4" s="2" t="s">
        <v>4</v>
      </c>
      <c r="C4" s="2" t="s">
        <v>5</v>
      </c>
      <c r="D4" s="2" t="s">
        <v>6</v>
      </c>
      <c r="E4" s="1" t="s">
        <v>7</v>
      </c>
      <c r="F4" s="1" t="s">
        <v>8</v>
      </c>
    </row>
    <row r="5" spans="1:6" s="9" customFormat="1" ht="96.75" customHeight="1">
      <c r="A5" s="3" t="s">
        <v>9</v>
      </c>
      <c r="B5" s="4" t="s">
        <v>10</v>
      </c>
      <c r="C5" s="5">
        <f>[1]MLA!G7</f>
        <v>145.14301897479467</v>
      </c>
      <c r="D5" s="6" t="s">
        <v>11</v>
      </c>
      <c r="E5" s="7">
        <v>151.82</v>
      </c>
      <c r="F5" s="8">
        <f>ROUND((C5*E5),2)</f>
        <v>22035.61</v>
      </c>
    </row>
    <row r="6" spans="1:6" ht="98.25" customHeight="1">
      <c r="A6" s="10" t="s">
        <v>12</v>
      </c>
      <c r="B6" s="11" t="s">
        <v>13</v>
      </c>
      <c r="C6" s="12">
        <f>[1]MLA!G11</f>
        <v>29.028603794958933</v>
      </c>
      <c r="D6" s="6" t="s">
        <v>11</v>
      </c>
      <c r="E6" s="12">
        <v>589.51</v>
      </c>
      <c r="F6" s="8">
        <f t="shared" ref="F6:F15" si="0">ROUND((C6*E6),2)</f>
        <v>17112.650000000001</v>
      </c>
    </row>
    <row r="7" spans="1:6" s="13" customFormat="1" ht="77.25" customHeight="1">
      <c r="A7" s="10" t="s">
        <v>14</v>
      </c>
      <c r="B7" s="11" t="s">
        <v>15</v>
      </c>
      <c r="C7" s="12">
        <f>[1]MLA!G15</f>
        <v>47.606910223732648</v>
      </c>
      <c r="D7" s="6" t="s">
        <v>11</v>
      </c>
      <c r="E7" s="12">
        <v>1756.4</v>
      </c>
      <c r="F7" s="8">
        <f t="shared" si="0"/>
        <v>83616.78</v>
      </c>
    </row>
    <row r="8" spans="1:6" s="13" customFormat="1" ht="74.25" customHeight="1">
      <c r="A8" s="14" t="s">
        <v>16</v>
      </c>
      <c r="B8" s="15" t="s">
        <v>17</v>
      </c>
      <c r="C8" s="12">
        <f>[1]MLA!G19</f>
        <v>58.057207589917866</v>
      </c>
      <c r="D8" s="6" t="s">
        <v>11</v>
      </c>
      <c r="E8" s="12">
        <v>4961.7299999999996</v>
      </c>
      <c r="F8" s="8">
        <f t="shared" si="0"/>
        <v>288064.19</v>
      </c>
    </row>
    <row r="9" spans="1:6" s="13" customFormat="1" ht="71.25" customHeight="1">
      <c r="A9" s="10" t="s">
        <v>18</v>
      </c>
      <c r="B9" s="11" t="s">
        <v>19</v>
      </c>
      <c r="C9" s="16">
        <f>[1]MLA!G23</f>
        <v>38.104089219330852</v>
      </c>
      <c r="D9" s="17" t="s">
        <v>20</v>
      </c>
      <c r="E9" s="18">
        <v>194.5</v>
      </c>
      <c r="F9" s="8">
        <f t="shared" si="0"/>
        <v>7411.25</v>
      </c>
    </row>
    <row r="10" spans="1:6" s="13" customFormat="1" ht="36.75" customHeight="1">
      <c r="A10" s="19">
        <v>6</v>
      </c>
      <c r="B10" s="20" t="s">
        <v>21</v>
      </c>
      <c r="C10" s="21">
        <v>0</v>
      </c>
      <c r="D10" s="21"/>
      <c r="E10" s="21"/>
      <c r="F10" s="8">
        <f t="shared" si="0"/>
        <v>0</v>
      </c>
    </row>
    <row r="11" spans="1:6" s="13" customFormat="1" ht="31.5" customHeight="1">
      <c r="A11" s="22" t="s">
        <v>22</v>
      </c>
      <c r="B11" s="23" t="s">
        <v>23</v>
      </c>
      <c r="C11" s="12">
        <f>[1]MLA!G25</f>
        <v>24.964599263664681</v>
      </c>
      <c r="D11" s="12" t="s">
        <v>11</v>
      </c>
      <c r="E11" s="18">
        <f>'[2]RCC DRAIN'!I37</f>
        <v>848.82</v>
      </c>
      <c r="F11" s="8">
        <f t="shared" si="0"/>
        <v>21190.45</v>
      </c>
    </row>
    <row r="12" spans="1:6" s="13" customFormat="1" ht="30" customHeight="1">
      <c r="A12" s="22" t="s">
        <v>24</v>
      </c>
      <c r="B12" s="23" t="s">
        <v>25</v>
      </c>
      <c r="C12" s="12">
        <f>[1]MLA!G26</f>
        <v>29.028603794958933</v>
      </c>
      <c r="D12" s="12" t="s">
        <v>11</v>
      </c>
      <c r="E12" s="18">
        <f>'[2]RCC DRAIN'!I38</f>
        <v>313.14</v>
      </c>
      <c r="F12" s="8">
        <f t="shared" si="0"/>
        <v>9090.02</v>
      </c>
    </row>
    <row r="13" spans="1:6" s="13" customFormat="1" ht="27.75" customHeight="1">
      <c r="A13" s="22" t="s">
        <v>26</v>
      </c>
      <c r="B13" s="24" t="s">
        <v>27</v>
      </c>
      <c r="C13" s="12">
        <f>[1]MLA!G27</f>
        <v>49.929198527329362</v>
      </c>
      <c r="D13" s="12" t="s">
        <v>11</v>
      </c>
      <c r="E13" s="18">
        <f>'[2]RCC DRAIN'!I39</f>
        <v>447.06</v>
      </c>
      <c r="F13" s="8">
        <f t="shared" si="0"/>
        <v>22321.35</v>
      </c>
    </row>
    <row r="14" spans="1:6" s="13" customFormat="1" ht="30" customHeight="1">
      <c r="A14" s="22" t="s">
        <v>28</v>
      </c>
      <c r="B14" s="24" t="s">
        <v>29</v>
      </c>
      <c r="C14" s="12">
        <f>[1]MLA!G28</f>
        <v>47.606910223732648</v>
      </c>
      <c r="D14" s="12" t="s">
        <v>11</v>
      </c>
      <c r="E14" s="18">
        <f>'[2]RCC DRAIN'!I40</f>
        <v>679.66</v>
      </c>
      <c r="F14" s="8">
        <f t="shared" si="0"/>
        <v>32356.51</v>
      </c>
    </row>
    <row r="15" spans="1:6" s="13" customFormat="1" ht="29.25" customHeight="1">
      <c r="A15" s="22" t="s">
        <v>30</v>
      </c>
      <c r="B15" s="24" t="s">
        <v>31</v>
      </c>
      <c r="C15" s="12">
        <f>[1]MLA!G29</f>
        <v>145.14301897479467</v>
      </c>
      <c r="D15" s="12" t="s">
        <v>11</v>
      </c>
      <c r="E15" s="18">
        <f>'[2]RCC DRAIN'!I41</f>
        <v>117.54</v>
      </c>
      <c r="F15" s="8">
        <f t="shared" si="0"/>
        <v>17060.11</v>
      </c>
    </row>
    <row r="16" spans="1:6" s="13" customFormat="1" ht="28.5" customHeight="1">
      <c r="A16" s="25"/>
      <c r="B16" s="26"/>
      <c r="C16" s="27"/>
      <c r="D16" s="28"/>
      <c r="E16" s="28" t="s">
        <v>32</v>
      </c>
      <c r="F16" s="29">
        <f>SUM(F5:F15)</f>
        <v>520258.92</v>
      </c>
    </row>
    <row r="17" spans="1:6" s="13" customFormat="1" ht="28.5" customHeight="1">
      <c r="A17" s="30"/>
      <c r="B17" s="31"/>
      <c r="C17" s="28"/>
      <c r="D17" s="27"/>
      <c r="E17" s="28" t="s">
        <v>33</v>
      </c>
      <c r="F17" s="29">
        <f>F16*18/100</f>
        <v>93646.60560000001</v>
      </c>
    </row>
    <row r="18" spans="1:6" s="13" customFormat="1" ht="27" customHeight="1">
      <c r="A18" s="30"/>
      <c r="B18" s="31"/>
      <c r="C18" s="28"/>
      <c r="D18" s="28"/>
      <c r="E18" s="28"/>
      <c r="F18" s="29">
        <f>F16+F17</f>
        <v>613905.52560000005</v>
      </c>
    </row>
    <row r="19" spans="1:6" s="13" customFormat="1" ht="29.25" customHeight="1">
      <c r="A19" s="30"/>
      <c r="B19" s="31"/>
      <c r="C19" s="32"/>
      <c r="D19" s="28"/>
      <c r="E19" s="28" t="s">
        <v>34</v>
      </c>
      <c r="F19" s="29">
        <f>F18*1/100</f>
        <v>6139.0552560000006</v>
      </c>
    </row>
    <row r="20" spans="1:6" s="13" customFormat="1" ht="31.5" customHeight="1">
      <c r="A20" s="30"/>
      <c r="B20" s="31"/>
      <c r="C20" s="32"/>
      <c r="D20" s="28"/>
      <c r="E20" s="28" t="s">
        <v>32</v>
      </c>
      <c r="F20" s="33">
        <f>F18+F19</f>
        <v>620044.58085600007</v>
      </c>
    </row>
    <row r="21" spans="1:6" s="13" customFormat="1" ht="15">
      <c r="C21" s="34"/>
      <c r="D21" s="34"/>
      <c r="E21" s="34"/>
      <c r="F21" s="34"/>
    </row>
    <row r="22" spans="1:6" s="13" customFormat="1" ht="15">
      <c r="C22" s="34"/>
      <c r="D22" s="34"/>
      <c r="E22" s="34"/>
      <c r="F22" s="34"/>
    </row>
    <row r="23" spans="1:6" s="13" customFormat="1" ht="15">
      <c r="C23" s="34"/>
      <c r="D23" s="34"/>
      <c r="E23" s="34"/>
      <c r="F23" s="34"/>
    </row>
    <row r="24" spans="1:6" s="13" customFormat="1" ht="15">
      <c r="C24" s="34"/>
      <c r="D24" s="34"/>
      <c r="E24" s="34"/>
      <c r="F24" s="34"/>
    </row>
    <row r="25" spans="1:6" s="13" customFormat="1" ht="15">
      <c r="C25" s="34"/>
      <c r="D25" s="34"/>
      <c r="E25" s="34"/>
      <c r="F25" s="34"/>
    </row>
    <row r="26" spans="1:6" s="13" customFormat="1" ht="15">
      <c r="C26" s="34"/>
      <c r="D26" s="34"/>
      <c r="E26" s="34"/>
      <c r="F26" s="34"/>
    </row>
    <row r="27" spans="1:6" s="13" customFormat="1" ht="15">
      <c r="C27" s="34"/>
      <c r="D27" s="34"/>
      <c r="E27" s="34"/>
      <c r="F27" s="34"/>
    </row>
    <row r="28" spans="1:6" s="13" customFormat="1" ht="15">
      <c r="C28" s="34"/>
      <c r="D28" s="34"/>
      <c r="E28" s="34"/>
      <c r="F28" s="34"/>
    </row>
    <row r="29" spans="1:6" s="13" customFormat="1" ht="15">
      <c r="C29" s="34"/>
      <c r="D29" s="34"/>
      <c r="E29" s="34"/>
      <c r="F29" s="34"/>
    </row>
    <row r="30" spans="1:6" s="13" customFormat="1" ht="15">
      <c r="C30" s="34"/>
      <c r="D30" s="34"/>
      <c r="E30" s="34"/>
      <c r="F30" s="34"/>
    </row>
    <row r="31" spans="1:6" s="13" customFormat="1" ht="15">
      <c r="C31" s="34"/>
      <c r="D31" s="34"/>
      <c r="E31" s="34"/>
      <c r="F31" s="34"/>
    </row>
    <row r="32" spans="1:6" s="13" customFormat="1" ht="15">
      <c r="C32" s="34"/>
      <c r="D32" s="34"/>
      <c r="E32" s="34"/>
      <c r="F32" s="34"/>
    </row>
    <row r="33" spans="1:6" s="13" customFormat="1" ht="15">
      <c r="C33" s="34"/>
      <c r="D33" s="34"/>
      <c r="E33" s="34"/>
      <c r="F33" s="34"/>
    </row>
    <row r="34" spans="1:6" s="13" customFormat="1" ht="15">
      <c r="C34" s="34"/>
      <c r="D34" s="34"/>
      <c r="E34" s="34"/>
      <c r="F34" s="34"/>
    </row>
    <row r="35" spans="1:6" s="13" customFormat="1" ht="15">
      <c r="C35" s="34"/>
      <c r="D35" s="34"/>
      <c r="E35" s="34"/>
      <c r="F35" s="34"/>
    </row>
    <row r="36" spans="1:6" s="13" customFormat="1" ht="15">
      <c r="C36" s="34"/>
      <c r="D36" s="34"/>
      <c r="E36" s="34"/>
      <c r="F36" s="34"/>
    </row>
    <row r="37" spans="1:6" s="13" customFormat="1" ht="15">
      <c r="C37" s="34"/>
      <c r="D37" s="34"/>
      <c r="E37" s="34"/>
      <c r="F37" s="34"/>
    </row>
    <row r="38" spans="1:6" s="13" customFormat="1">
      <c r="A38"/>
      <c r="B38"/>
      <c r="C38" s="35"/>
      <c r="D38" s="35"/>
      <c r="E38" s="35"/>
      <c r="F38" s="35"/>
    </row>
    <row r="39" spans="1:6">
      <c r="C39" s="35"/>
      <c r="D39" s="35"/>
      <c r="E39" s="35"/>
      <c r="F39" s="35"/>
    </row>
    <row r="40" spans="1:6">
      <c r="C40" s="35"/>
      <c r="D40" s="35"/>
      <c r="E40" s="35"/>
      <c r="F40" s="35"/>
    </row>
    <row r="41" spans="1:6">
      <c r="C41" s="35"/>
      <c r="D41" s="35"/>
      <c r="E41" s="35"/>
      <c r="F41" s="35"/>
    </row>
    <row r="42" spans="1:6">
      <c r="C42" s="35"/>
      <c r="D42" s="35"/>
      <c r="E42" s="35"/>
      <c r="F42" s="35"/>
    </row>
    <row r="43" spans="1:6">
      <c r="C43" s="35"/>
      <c r="D43" s="35"/>
      <c r="E43" s="35"/>
      <c r="F43" s="35"/>
    </row>
    <row r="44" spans="1:6">
      <c r="C44" s="35"/>
      <c r="D44" s="35"/>
      <c r="E44" s="35"/>
      <c r="F44" s="35"/>
    </row>
    <row r="45" spans="1:6">
      <c r="C45" s="35"/>
      <c r="D45" s="35"/>
      <c r="E45" s="35"/>
      <c r="F45" s="35"/>
    </row>
    <row r="46" spans="1:6">
      <c r="C46" s="35"/>
      <c r="D46" s="35"/>
      <c r="E46" s="35"/>
      <c r="F46" s="35"/>
    </row>
    <row r="47" spans="1:6">
      <c r="C47" s="35"/>
      <c r="D47" s="35"/>
      <c r="E47" s="35"/>
      <c r="F47" s="35"/>
    </row>
    <row r="48" spans="1:6">
      <c r="C48" s="35"/>
      <c r="D48" s="35"/>
      <c r="E48" s="35"/>
      <c r="F48" s="35"/>
    </row>
  </sheetData>
  <mergeCells count="3">
    <mergeCell ref="A1:F1"/>
    <mergeCell ref="A2:F2"/>
    <mergeCell ref="A3:F3"/>
  </mergeCell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F27"/>
  <sheetViews>
    <sheetView workbookViewId="0">
      <selection activeCell="A7" sqref="A7"/>
    </sheetView>
  </sheetViews>
  <sheetFormatPr defaultRowHeight="18.75"/>
  <cols>
    <col min="2" max="2" width="36" customWidth="1"/>
    <col min="6" max="6" width="11.296875" bestFit="1" customWidth="1"/>
  </cols>
  <sheetData>
    <row r="1" spans="1:6" ht="20.25">
      <c r="A1" s="271" t="s">
        <v>50</v>
      </c>
      <c r="B1" s="228"/>
      <c r="C1" s="228"/>
      <c r="D1" s="228"/>
      <c r="E1" s="228"/>
      <c r="F1" s="229"/>
    </row>
    <row r="2" spans="1:6" ht="18" customHeight="1">
      <c r="A2" s="219" t="s">
        <v>51</v>
      </c>
      <c r="B2" s="220"/>
      <c r="C2" s="220"/>
      <c r="D2" s="220"/>
      <c r="E2" s="220"/>
      <c r="F2" s="221"/>
    </row>
    <row r="3" spans="1:6" ht="32.450000000000003" customHeight="1">
      <c r="A3" s="307" t="str">
        <f>[15]ESTIMATE!A2</f>
        <v>Name of Work :-CONSTRUCTION OF PCC R0AD AT OBRIA ROAD AT P.C.C. MAIN ROAD TO HOUSE OF MANISH KUMAR UNDER WARD NO-52</v>
      </c>
      <c r="B3" s="308"/>
      <c r="C3" s="308"/>
      <c r="D3" s="308"/>
      <c r="E3" s="308"/>
      <c r="F3" s="309"/>
    </row>
    <row r="4" spans="1:6" ht="31.5">
      <c r="A4" s="161" t="s">
        <v>52</v>
      </c>
      <c r="B4" s="162" t="s">
        <v>39</v>
      </c>
      <c r="C4" s="162" t="s">
        <v>5</v>
      </c>
      <c r="D4" s="162" t="s">
        <v>6</v>
      </c>
      <c r="E4" s="161" t="s">
        <v>53</v>
      </c>
      <c r="F4" s="161" t="s">
        <v>54</v>
      </c>
    </row>
    <row r="5" spans="1:6" ht="31.5">
      <c r="A5" s="161">
        <f>[15]ESTIMATE!A4</f>
        <v>1</v>
      </c>
      <c r="B5" s="165" t="str">
        <f>[15]ESTIMATE!B4</f>
        <v>Labour for site clearence before and after the work etc.</v>
      </c>
      <c r="C5" s="166">
        <f>[15]ESTIMATE!G4</f>
        <v>5</v>
      </c>
      <c r="D5" s="167" t="str">
        <f>[15]ESTIMATE!H4</f>
        <v>No.</v>
      </c>
      <c r="E5" s="166">
        <f>[15]ESTIMATE!I4</f>
        <v>326.85000000000002</v>
      </c>
      <c r="F5" s="166">
        <f t="shared" ref="F5:F10" si="0">ROUND(C5*E5,2)</f>
        <v>1634.25</v>
      </c>
    </row>
    <row r="6" spans="1:6" ht="110.25">
      <c r="A6" s="161" t="str">
        <f>[15]ESTIMATE!A5</f>
        <v>2       5.1.1.</v>
      </c>
      <c r="B6" s="165" t="str">
        <f>[15]ESTIMATE!B5</f>
        <v xml:space="preserve">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                                                                              </v>
      </c>
      <c r="C6" s="166">
        <f>[15]ESTIMATE!G8</f>
        <v>68.31</v>
      </c>
      <c r="D6" s="167" t="s">
        <v>11</v>
      </c>
      <c r="E6" s="166">
        <f>[15]ESTIMATE!I8</f>
        <v>151.82</v>
      </c>
      <c r="F6" s="166">
        <f t="shared" si="0"/>
        <v>10370.82</v>
      </c>
    </row>
    <row r="7" spans="1:6" ht="126">
      <c r="A7" s="161" t="str">
        <f>[15]ESTIMATE!A9</f>
        <v>3.           M-004</v>
      </c>
      <c r="B7" s="165" t="str">
        <f>[15]ESTIMATE!B9</f>
        <v xml:space="preserve">Providing stone cruster dust finer than 3mm with not more than 10% passing 0.075 sieve at Quarry in filling in foundation trenches or in plinth including  ramming and watering in layers not exceeding 150 mm thick with all leads and lifts including cost of materials , labour , royalty and taxes all complete as per specification and  direction of E/I. (Mode of measurement compacted volume. )                               </v>
      </c>
      <c r="C7" s="166">
        <f>[15]ESTIMATE!G12</f>
        <v>25.49</v>
      </c>
      <c r="D7" s="167" t="s">
        <v>11</v>
      </c>
      <c r="E7" s="166">
        <f>[15]ESTIMATE!I12</f>
        <v>347.85</v>
      </c>
      <c r="F7" s="166">
        <f t="shared" si="0"/>
        <v>8866.7000000000007</v>
      </c>
    </row>
    <row r="8" spans="1:6" ht="78.75">
      <c r="A8" s="161" t="str">
        <f>[15]ESTIMATE!A13</f>
        <v>4.       5.6.8 (C.I.W.)</v>
      </c>
      <c r="B8" s="165" t="str">
        <f>[15]ESTIMATE!B13</f>
        <v>Supplying and laying (properly as per design and drawing )rip-rap with good quality of boulders duly packed including the cost of materials,royalty all taxes etc.but excluding the cost of carriage, all complete as per specification and direction of E/I.</v>
      </c>
      <c r="C8" s="166">
        <f>[15]ESTIMATE!G16</f>
        <v>42.82</v>
      </c>
      <c r="D8" s="167" t="s">
        <v>11</v>
      </c>
      <c r="E8" s="166">
        <f>[15]ESTIMATE!I16</f>
        <v>1756.4</v>
      </c>
      <c r="F8" s="166">
        <f t="shared" si="0"/>
        <v>75209.05</v>
      </c>
    </row>
    <row r="9" spans="1:6" ht="65.099999999999994" customHeight="1">
      <c r="A9" s="161" t="str">
        <f>[15]ESTIMATE!A17</f>
        <v>5.     5.3.1.1</v>
      </c>
      <c r="B9" s="168" t="str">
        <f>[15]ESTIMATE!B17</f>
        <v xml:space="preserve">Providing and laying in position cement concrete of specified grade excluding the cost of centering and shuttering- All work upto plinth level : 1:1½:3 (1 cemet : 1½ coarse sand (zone-iii) : 3 graded stone aggregate 20mm nominal size )  </v>
      </c>
      <c r="C9" s="166">
        <f>[15]ESTIMATE!G20</f>
        <v>50.98</v>
      </c>
      <c r="D9" s="167" t="s">
        <v>11</v>
      </c>
      <c r="E9" s="166">
        <f>[15]ESTIMATE!I20</f>
        <v>4961.7299999999996</v>
      </c>
      <c r="F9" s="166">
        <f t="shared" si="0"/>
        <v>252949</v>
      </c>
    </row>
    <row r="10" spans="1:6" ht="47.25">
      <c r="A10" s="161" t="str">
        <f>[15]ESTIMATE!A21</f>
        <v>6               5.3.17.1</v>
      </c>
      <c r="B10" s="165" t="str">
        <f>[15]ESTIMATE!B21</f>
        <v>Centering and shuttering including strutting, propping etc. and removal of from for Foundations, footings, bases of columns, etc. for mass concrete.</v>
      </c>
      <c r="C10" s="166">
        <f>[15]ESTIMATE!G24</f>
        <v>33.46</v>
      </c>
      <c r="D10" s="169" t="s">
        <v>20</v>
      </c>
      <c r="E10" s="161">
        <f>[15]ESTIMATE!I24</f>
        <v>194.5</v>
      </c>
      <c r="F10" s="170">
        <f t="shared" si="0"/>
        <v>6507.97</v>
      </c>
    </row>
    <row r="11" spans="1:6">
      <c r="A11" s="161">
        <f>[15]ESTIMATE!A25</f>
        <v>7</v>
      </c>
      <c r="B11" s="171" t="s">
        <v>21</v>
      </c>
      <c r="C11" s="167"/>
      <c r="D11" s="172"/>
      <c r="E11" s="173"/>
      <c r="F11" s="166"/>
    </row>
    <row r="12" spans="1:6">
      <c r="A12" s="174" t="s">
        <v>22</v>
      </c>
      <c r="B12" s="175" t="str">
        <f>[15]ESTIMATE!B26</f>
        <v>SAND-LEAD-42KM</v>
      </c>
      <c r="C12" s="167">
        <f>PRODUCT('[15]MATERIAL '!F7)</f>
        <v>21.92</v>
      </c>
      <c r="D12" s="172" t="s">
        <v>11</v>
      </c>
      <c r="E12" s="39">
        <f>[15]ESTIMATE!I26</f>
        <v>744.66</v>
      </c>
      <c r="F12" s="166">
        <f t="shared" ref="F12:F16" si="1">ROUND(C12*E12,2)</f>
        <v>16322.95</v>
      </c>
    </row>
    <row r="13" spans="1:6">
      <c r="A13" s="174" t="s">
        <v>24</v>
      </c>
      <c r="B13" s="177" t="str">
        <f>[15]ESTIMATE!B27</f>
        <v>STONE DUST-LEAD-15KM</v>
      </c>
      <c r="C13" s="167">
        <f>PRODUCT('[15]MATERIAL '!G7)</f>
        <v>25.49</v>
      </c>
      <c r="D13" s="172" t="s">
        <v>11</v>
      </c>
      <c r="E13" s="176">
        <f>[15]ESTIMATE!I27</f>
        <v>342.9</v>
      </c>
      <c r="F13" s="166">
        <f t="shared" si="1"/>
        <v>8740.52</v>
      </c>
    </row>
    <row r="14" spans="1:6">
      <c r="A14" s="174" t="s">
        <v>26</v>
      </c>
      <c r="B14" s="177" t="str">
        <f>[15]ESTIMATE!B28</f>
        <v>STONE CHIPS-LEAD-15KM</v>
      </c>
      <c r="C14" s="167">
        <f>PRODUCT('[15]MATERIAL '!H7)</f>
        <v>43.84</v>
      </c>
      <c r="D14" s="172" t="s">
        <v>11</v>
      </c>
      <c r="E14" s="176">
        <f>[15]ESTIMATE!I28</f>
        <v>342.9</v>
      </c>
      <c r="F14" s="166">
        <f t="shared" si="1"/>
        <v>15032.74</v>
      </c>
    </row>
    <row r="15" spans="1:6">
      <c r="A15" s="174" t="s">
        <v>28</v>
      </c>
      <c r="B15" s="177" t="str">
        <f>[15]ESTIMATE!B29</f>
        <v>BOULDER-LEAD-29KM</v>
      </c>
      <c r="C15" s="167">
        <f>PRODUCT('[15]MATERIAL '!I7)</f>
        <v>42.82</v>
      </c>
      <c r="D15" s="172" t="s">
        <v>11</v>
      </c>
      <c r="E15" s="39">
        <f>[15]ESTIMATE!I29</f>
        <v>570.94000000000005</v>
      </c>
      <c r="F15" s="166">
        <f t="shared" si="1"/>
        <v>24447.65</v>
      </c>
    </row>
    <row r="16" spans="1:6">
      <c r="A16" s="174" t="s">
        <v>30</v>
      </c>
      <c r="B16" s="165" t="str">
        <f>[15]ESTIMATE!B30</f>
        <v>EARTH-LEAD-01km</v>
      </c>
      <c r="C16" s="167">
        <f>PRODUCT('[15]MATERIAL '!J7)</f>
        <v>68.31</v>
      </c>
      <c r="D16" s="172" t="s">
        <v>11</v>
      </c>
      <c r="E16" s="176">
        <f>[15]ESTIMATE!I30</f>
        <v>117.54</v>
      </c>
      <c r="F16" s="166">
        <f t="shared" si="1"/>
        <v>8029.16</v>
      </c>
    </row>
    <row r="17" spans="1:6">
      <c r="A17" s="178"/>
      <c r="B17" s="178"/>
      <c r="C17" s="276" t="s">
        <v>46</v>
      </c>
      <c r="D17" s="276"/>
      <c r="E17" s="276"/>
      <c r="F17" s="191">
        <f>SUM(F5:F16)</f>
        <v>428110.81</v>
      </c>
    </row>
    <row r="18" spans="1:6">
      <c r="A18" s="178"/>
      <c r="B18" s="178"/>
      <c r="C18" s="276" t="s">
        <v>47</v>
      </c>
      <c r="D18" s="276"/>
      <c r="E18" s="276"/>
      <c r="F18" s="191">
        <f>F17*18%</f>
        <v>77059.945800000001</v>
      </c>
    </row>
    <row r="19" spans="1:6">
      <c r="A19" s="178"/>
      <c r="B19" s="178"/>
      <c r="C19" s="276" t="s">
        <v>46</v>
      </c>
      <c r="D19" s="276"/>
      <c r="E19" s="276"/>
      <c r="F19" s="191">
        <f>SUM(F17:F18)</f>
        <v>505170.75579999998</v>
      </c>
    </row>
    <row r="20" spans="1:6">
      <c r="A20" s="178"/>
      <c r="B20" s="178"/>
      <c r="C20" s="276" t="s">
        <v>48</v>
      </c>
      <c r="D20" s="276"/>
      <c r="E20" s="276"/>
      <c r="F20" s="191">
        <f>ROUND(F19*0.01,2)</f>
        <v>5051.71</v>
      </c>
    </row>
    <row r="21" spans="1:6">
      <c r="A21" s="178"/>
      <c r="B21" s="178"/>
      <c r="C21" s="276" t="s">
        <v>32</v>
      </c>
      <c r="D21" s="276"/>
      <c r="E21" s="276"/>
      <c r="F21" s="191">
        <f>SUM(F19:F20)</f>
        <v>510222.46580000001</v>
      </c>
    </row>
    <row r="22" spans="1:6">
      <c r="A22" s="178"/>
      <c r="B22" s="178"/>
      <c r="C22" s="276" t="s">
        <v>186</v>
      </c>
      <c r="D22" s="276"/>
      <c r="E22" s="276"/>
      <c r="F22" s="180">
        <v>510200</v>
      </c>
    </row>
    <row r="23" spans="1:6">
      <c r="A23" s="210"/>
      <c r="B23" s="210"/>
      <c r="C23" s="211"/>
      <c r="D23" s="211"/>
      <c r="E23" s="211"/>
      <c r="F23" s="212"/>
    </row>
    <row r="24" spans="1:6">
      <c r="A24" s="184"/>
    </row>
    <row r="25" spans="1:6">
      <c r="A25" s="184"/>
    </row>
    <row r="26" spans="1:6">
      <c r="A26" s="184"/>
      <c r="B26" s="185" t="s">
        <v>170</v>
      </c>
      <c r="C26" s="186" t="s">
        <v>171</v>
      </c>
      <c r="F26" s="187" t="s">
        <v>62</v>
      </c>
    </row>
    <row r="27" spans="1:6">
      <c r="A27" s="184"/>
      <c r="B27" s="185" t="s">
        <v>63</v>
      </c>
      <c r="C27" s="186" t="s">
        <v>172</v>
      </c>
      <c r="F27" s="187" t="s">
        <v>63</v>
      </c>
    </row>
  </sheetData>
  <mergeCells count="9">
    <mergeCell ref="C19:E19"/>
    <mergeCell ref="C20:E20"/>
    <mergeCell ref="C21:E21"/>
    <mergeCell ref="C22:E22"/>
    <mergeCell ref="A1:F1"/>
    <mergeCell ref="A2:F2"/>
    <mergeCell ref="A3:F3"/>
    <mergeCell ref="C17:E17"/>
    <mergeCell ref="C18:E18"/>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G21"/>
  <sheetViews>
    <sheetView workbookViewId="0">
      <selection activeCell="A3" sqref="A3:F3"/>
    </sheetView>
  </sheetViews>
  <sheetFormatPr defaultRowHeight="15"/>
  <cols>
    <col min="1" max="1" width="6.19921875" style="110" customWidth="1"/>
    <col min="2" max="2" width="30" style="111" customWidth="1"/>
    <col min="3" max="3" width="9.59765625" style="103" bestFit="1" customWidth="1"/>
    <col min="4" max="4" width="8.796875" style="112"/>
    <col min="5" max="5" width="8.5" style="103" customWidth="1"/>
    <col min="6" max="6" width="11.5" style="113" customWidth="1"/>
    <col min="7" max="7" width="15.5" style="103" hidden="1" customWidth="1"/>
    <col min="8" max="16384" width="8.796875" style="103"/>
  </cols>
  <sheetData>
    <row r="1" spans="1:6" ht="18.75">
      <c r="A1" s="223" t="s">
        <v>50</v>
      </c>
      <c r="B1" s="223"/>
      <c r="C1" s="223"/>
      <c r="D1" s="223"/>
      <c r="E1" s="223"/>
      <c r="F1" s="223"/>
    </row>
    <row r="2" spans="1:6" ht="18.75">
      <c r="A2" s="223" t="s">
        <v>81</v>
      </c>
      <c r="B2" s="223"/>
      <c r="C2" s="223"/>
      <c r="D2" s="223"/>
      <c r="E2" s="223"/>
      <c r="F2" s="223"/>
    </row>
    <row r="3" spans="1:6" ht="47.25" customHeight="1">
      <c r="A3" s="224" t="s">
        <v>82</v>
      </c>
      <c r="B3" s="224"/>
      <c r="C3" s="224"/>
      <c r="D3" s="224"/>
      <c r="E3" s="224"/>
      <c r="F3" s="224"/>
    </row>
    <row r="4" spans="1:6">
      <c r="A4" s="104" t="s">
        <v>83</v>
      </c>
      <c r="B4" s="104" t="s">
        <v>84</v>
      </c>
      <c r="C4" s="104" t="s">
        <v>85</v>
      </c>
      <c r="D4" s="104" t="s">
        <v>6</v>
      </c>
      <c r="E4" s="104" t="s">
        <v>86</v>
      </c>
      <c r="F4" s="104" t="s">
        <v>87</v>
      </c>
    </row>
    <row r="5" spans="1:6" ht="30">
      <c r="A5" s="105">
        <v>1</v>
      </c>
      <c r="B5" s="106" t="s">
        <v>88</v>
      </c>
      <c r="C5" s="106">
        <v>7</v>
      </c>
      <c r="D5" s="106" t="s">
        <v>43</v>
      </c>
      <c r="E5" s="106">
        <v>326.85000000000002</v>
      </c>
      <c r="F5" s="106">
        <f>C5*E5</f>
        <v>2287.9500000000003</v>
      </c>
    </row>
    <row r="6" spans="1:6" ht="165">
      <c r="A6" s="106" t="s">
        <v>89</v>
      </c>
      <c r="B6" s="106" t="s">
        <v>90</v>
      </c>
      <c r="C6" s="106">
        <v>70.209999999999994</v>
      </c>
      <c r="D6" s="106" t="s">
        <v>91</v>
      </c>
      <c r="E6" s="106">
        <v>151.82</v>
      </c>
      <c r="F6" s="106">
        <f t="shared" ref="F6:F16" si="0">C6*E6</f>
        <v>10659.282199999998</v>
      </c>
    </row>
    <row r="7" spans="1:6" ht="120">
      <c r="A7" s="106" t="s">
        <v>92</v>
      </c>
      <c r="B7" s="106" t="s">
        <v>93</v>
      </c>
      <c r="C7" s="106">
        <v>17.809999999999999</v>
      </c>
      <c r="D7" s="106" t="s">
        <v>91</v>
      </c>
      <c r="E7" s="106">
        <v>347.85</v>
      </c>
      <c r="F7" s="106">
        <f t="shared" si="0"/>
        <v>6195.2084999999997</v>
      </c>
    </row>
    <row r="8" spans="1:6" ht="90">
      <c r="A8" s="106" t="s">
        <v>94</v>
      </c>
      <c r="B8" s="106" t="s">
        <v>95</v>
      </c>
      <c r="C8" s="106">
        <v>44.01</v>
      </c>
      <c r="D8" s="106" t="s">
        <v>91</v>
      </c>
      <c r="E8" s="106">
        <v>1756.4</v>
      </c>
      <c r="F8" s="106">
        <f t="shared" si="0"/>
        <v>77299.164000000004</v>
      </c>
    </row>
    <row r="9" spans="1:6" ht="90">
      <c r="A9" s="106" t="s">
        <v>96</v>
      </c>
      <c r="B9" s="106" t="s">
        <v>97</v>
      </c>
      <c r="C9" s="106">
        <v>52.39</v>
      </c>
      <c r="D9" s="106" t="s">
        <v>91</v>
      </c>
      <c r="E9" s="106">
        <v>4961.7299999999996</v>
      </c>
      <c r="F9" s="106">
        <f t="shared" si="0"/>
        <v>259945.03469999999</v>
      </c>
    </row>
    <row r="10" spans="1:6" ht="60">
      <c r="A10" s="106" t="s">
        <v>98</v>
      </c>
      <c r="B10" s="106" t="s">
        <v>99</v>
      </c>
      <c r="C10" s="106">
        <v>18.59</v>
      </c>
      <c r="D10" s="106" t="s">
        <v>100</v>
      </c>
      <c r="E10" s="106">
        <v>194.5</v>
      </c>
      <c r="F10" s="106">
        <f t="shared" si="0"/>
        <v>3615.7550000000001</v>
      </c>
    </row>
    <row r="11" spans="1:6">
      <c r="A11" s="106">
        <v>7</v>
      </c>
      <c r="B11" s="106" t="s">
        <v>101</v>
      </c>
      <c r="C11" s="106"/>
      <c r="D11" s="106"/>
      <c r="E11" s="106"/>
      <c r="F11" s="106"/>
    </row>
    <row r="12" spans="1:6">
      <c r="A12" s="106" t="s">
        <v>102</v>
      </c>
      <c r="B12" s="106" t="s">
        <v>103</v>
      </c>
      <c r="C12" s="106">
        <v>22.53</v>
      </c>
      <c r="D12" s="106" t="s">
        <v>91</v>
      </c>
      <c r="E12" s="106">
        <v>744.66</v>
      </c>
      <c r="F12" s="106">
        <f t="shared" si="0"/>
        <v>16777.1898</v>
      </c>
    </row>
    <row r="13" spans="1:6">
      <c r="A13" s="106" t="s">
        <v>104</v>
      </c>
      <c r="B13" s="106" t="s">
        <v>105</v>
      </c>
      <c r="C13" s="106">
        <v>17.809999999999999</v>
      </c>
      <c r="D13" s="106" t="s">
        <v>91</v>
      </c>
      <c r="E13" s="106">
        <v>342.9</v>
      </c>
      <c r="F13" s="106">
        <f t="shared" si="0"/>
        <v>6107.0489999999991</v>
      </c>
    </row>
    <row r="14" spans="1:6">
      <c r="A14" s="106" t="s">
        <v>106</v>
      </c>
      <c r="B14" s="106" t="s">
        <v>107</v>
      </c>
      <c r="C14" s="106">
        <v>45.06</v>
      </c>
      <c r="D14" s="106" t="s">
        <v>91</v>
      </c>
      <c r="E14" s="106">
        <v>342.9</v>
      </c>
      <c r="F14" s="106">
        <f t="shared" si="0"/>
        <v>15451.074000000001</v>
      </c>
    </row>
    <row r="15" spans="1:6">
      <c r="A15" s="106" t="s">
        <v>108</v>
      </c>
      <c r="B15" s="106" t="s">
        <v>109</v>
      </c>
      <c r="C15" s="106">
        <v>44.01</v>
      </c>
      <c r="D15" s="106" t="s">
        <v>91</v>
      </c>
      <c r="E15" s="106">
        <v>570.94000000000005</v>
      </c>
      <c r="F15" s="106">
        <f t="shared" si="0"/>
        <v>25127.0694</v>
      </c>
    </row>
    <row r="16" spans="1:6">
      <c r="A16" s="106" t="s">
        <v>110</v>
      </c>
      <c r="B16" s="106" t="s">
        <v>111</v>
      </c>
      <c r="C16" s="106">
        <v>70.209999999999994</v>
      </c>
      <c r="D16" s="106" t="s">
        <v>91</v>
      </c>
      <c r="E16" s="106">
        <v>117.54</v>
      </c>
      <c r="F16" s="106">
        <f t="shared" si="0"/>
        <v>8252.4833999999992</v>
      </c>
    </row>
    <row r="17" spans="1:6">
      <c r="A17" s="106"/>
      <c r="B17" s="106"/>
      <c r="C17" s="106"/>
      <c r="D17" s="106"/>
      <c r="E17" s="106" t="s">
        <v>32</v>
      </c>
      <c r="F17" s="106">
        <f>SUM(F5:F16)</f>
        <v>431717.26</v>
      </c>
    </row>
    <row r="18" spans="1:6">
      <c r="A18" s="107"/>
      <c r="B18" s="108"/>
      <c r="C18" s="109"/>
      <c r="D18" s="105"/>
      <c r="E18" s="106" t="s">
        <v>112</v>
      </c>
      <c r="F18" s="106">
        <f>F17*18/100</f>
        <v>77709.106799999994</v>
      </c>
    </row>
    <row r="19" spans="1:6">
      <c r="A19" s="107"/>
      <c r="B19" s="108"/>
      <c r="C19" s="109"/>
      <c r="D19" s="105"/>
      <c r="E19" s="106" t="s">
        <v>32</v>
      </c>
      <c r="F19" s="106">
        <f>F18+F17</f>
        <v>509426.36680000002</v>
      </c>
    </row>
    <row r="20" spans="1:6">
      <c r="A20" s="107"/>
      <c r="B20" s="108"/>
      <c r="C20" s="109"/>
      <c r="D20" s="105"/>
      <c r="E20" s="106" t="s">
        <v>113</v>
      </c>
      <c r="F20" s="106">
        <f>F19*1/100</f>
        <v>5094.2636680000005</v>
      </c>
    </row>
    <row r="21" spans="1:6">
      <c r="A21" s="107"/>
      <c r="B21" s="108"/>
      <c r="C21" s="109"/>
      <c r="D21" s="105"/>
      <c r="E21" s="106" t="s">
        <v>32</v>
      </c>
      <c r="F21" s="106">
        <f>F20+F19</f>
        <v>514520.63046800002</v>
      </c>
    </row>
  </sheetData>
  <mergeCells count="3">
    <mergeCell ref="A1:F1"/>
    <mergeCell ref="A2:F2"/>
    <mergeCell ref="A3:F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K25"/>
  <sheetViews>
    <sheetView workbookViewId="0">
      <selection activeCell="B3" sqref="B3:F3"/>
    </sheetView>
  </sheetViews>
  <sheetFormatPr defaultRowHeight="18.75"/>
  <cols>
    <col min="1" max="1" width="5.59765625" customWidth="1"/>
    <col min="2" max="2" width="42.69921875" customWidth="1"/>
    <col min="3" max="3" width="8.796875" bestFit="1" customWidth="1"/>
    <col min="4" max="4" width="3.69921875" customWidth="1"/>
    <col min="5" max="5" width="8.3984375" bestFit="1" customWidth="1"/>
    <col min="6" max="6" width="8.69921875" customWidth="1"/>
  </cols>
  <sheetData>
    <row r="1" spans="1:11" ht="20.25">
      <c r="A1" s="114"/>
      <c r="B1" s="228" t="s">
        <v>50</v>
      </c>
      <c r="C1" s="228"/>
      <c r="D1" s="228"/>
      <c r="E1" s="228"/>
      <c r="F1" s="229"/>
    </row>
    <row r="2" spans="1:11" ht="20.25">
      <c r="A2" s="114"/>
      <c r="B2" s="230" t="s">
        <v>1</v>
      </c>
      <c r="C2" s="230"/>
      <c r="D2" s="230"/>
      <c r="E2" s="230"/>
      <c r="F2" s="231"/>
    </row>
    <row r="3" spans="1:11" ht="33.75" customHeight="1">
      <c r="A3" s="114"/>
      <c r="B3" s="232" t="str">
        <f>[3]Sheet1!B2</f>
        <v>NAME OF WORK:-Construction of RCC drain From Aughad Bhagwan Ram Ashram To Phool Baba Ashram Under Ward No. 21.</v>
      </c>
      <c r="C3" s="232"/>
      <c r="D3" s="232"/>
      <c r="E3" s="232"/>
      <c r="F3" s="233"/>
    </row>
    <row r="4" spans="1:11" ht="25.5">
      <c r="A4" s="115" t="s">
        <v>83</v>
      </c>
      <c r="B4" s="68" t="s">
        <v>114</v>
      </c>
      <c r="C4" s="68" t="s">
        <v>85</v>
      </c>
      <c r="D4" s="68" t="s">
        <v>6</v>
      </c>
      <c r="E4" s="68" t="s">
        <v>86</v>
      </c>
      <c r="F4" s="68" t="s">
        <v>87</v>
      </c>
      <c r="K4">
        <f>150*3.28</f>
        <v>491.99999999999994</v>
      </c>
    </row>
    <row r="5" spans="1:11" ht="27">
      <c r="A5" s="116" t="s">
        <v>115</v>
      </c>
      <c r="B5" s="68" t="str">
        <f>[3]Sheet1!B4</f>
        <v>Dismentalling of Plain Cement Concrete and………..Do…..E/I.</v>
      </c>
      <c r="C5" s="117">
        <f>[3]Sheet1!G7</f>
        <v>5.1732276031341442</v>
      </c>
      <c r="D5" s="68" t="s">
        <v>116</v>
      </c>
      <c r="E5" s="117">
        <v>955.89</v>
      </c>
      <c r="F5" s="117">
        <f>ROUND(C5*E5,2)</f>
        <v>4945.04</v>
      </c>
    </row>
    <row r="6" spans="1:11" ht="108">
      <c r="A6" s="116" t="s">
        <v>117</v>
      </c>
      <c r="B6" s="118" t="s">
        <v>90</v>
      </c>
      <c r="C6" s="117">
        <f>[3]Sheet1!G12</f>
        <v>36.159728122344944</v>
      </c>
      <c r="D6" s="119" t="s">
        <v>91</v>
      </c>
      <c r="E6" s="119">
        <f>[3]Sheet1!I12</f>
        <v>167.33</v>
      </c>
      <c r="F6" s="117">
        <f t="shared" ref="F6:F20" si="0">ROUND(C6*E6,2)</f>
        <v>6050.61</v>
      </c>
    </row>
    <row r="7" spans="1:11" ht="76.5">
      <c r="A7" s="116" t="str">
        <f>[3]Sheet1!A13</f>
        <v>BCD SOR 5.1.10</v>
      </c>
      <c r="B7" s="120" t="s">
        <v>13</v>
      </c>
      <c r="C7" s="68">
        <f>[3]Sheet1!G17</f>
        <v>3.4</v>
      </c>
      <c r="D7" s="68" t="s">
        <v>91</v>
      </c>
      <c r="E7" s="68">
        <v>589.51</v>
      </c>
      <c r="F7" s="117">
        <f t="shared" si="0"/>
        <v>2004.33</v>
      </c>
    </row>
    <row r="8" spans="1:11" ht="63.75">
      <c r="A8" s="116" t="s">
        <v>118</v>
      </c>
      <c r="B8" s="121" t="s">
        <v>95</v>
      </c>
      <c r="C8" s="68">
        <f>[3]Sheet1!G22</f>
        <v>5.67</v>
      </c>
      <c r="D8" s="68" t="s">
        <v>91</v>
      </c>
      <c r="E8" s="122">
        <v>1756.4</v>
      </c>
      <c r="F8" s="117">
        <f t="shared" si="0"/>
        <v>9958.7900000000009</v>
      </c>
    </row>
    <row r="9" spans="1:11" ht="76.5">
      <c r="A9" s="116" t="str">
        <f>[3]Sheet1!A23</f>
        <v>5.    5.3.10</v>
      </c>
      <c r="B9" s="123" t="str">
        <f>[3]Sheet1!B23</f>
        <v xml:space="preserve">Reinforced cement concrete work in walls(any thickness),including attached pilasters, buttresses,plinth and string courses,fillets columns,pillars,piers,abutments,posts and struts etc.above plinth level up to floor five level,excluding cost of centering,shuttering,finishing and reinforcement:    1:1.5:3(1 cement :1.5 coarse sand(zoneIII):3 graded stone aggregate                        </v>
      </c>
      <c r="C9" s="124">
        <f>[3]Sheet1!G29</f>
        <v>20.85</v>
      </c>
      <c r="D9" s="68" t="s">
        <v>91</v>
      </c>
      <c r="E9" s="122">
        <v>6082.45</v>
      </c>
      <c r="F9" s="117">
        <f t="shared" si="0"/>
        <v>126819.08</v>
      </c>
    </row>
    <row r="10" spans="1:11" ht="102">
      <c r="A10" s="125" t="str">
        <f>[3]Sheet1!A30</f>
        <v>6. 5.3.11</v>
      </c>
      <c r="B10" s="126" t="str">
        <f>[3]Sheet1!B30</f>
        <v xml:space="preserve"> Reinforced  cement  concrete  work  in  beams,  suspended  floors,  roofs  having slope up to 15° landings, balconies, shelves, chajjas, lintels, bands, plain window sills, staircases and spiral stair cases above plinth level up to floor five level, excluding the cost of centering, shuttering, finishing and reinforcement, with 1:1.5:3 (1 cement : 1.5 coarse sand(zone-III)  : 3 graded stone aggregate 20 mm nominal size).</v>
      </c>
      <c r="C10" s="124">
        <f>[3]Sheet1!G34</f>
        <v>6.8</v>
      </c>
      <c r="D10" s="68" t="s">
        <v>91</v>
      </c>
      <c r="E10" s="127">
        <v>6308.87</v>
      </c>
      <c r="F10" s="128">
        <f t="shared" ref="F10" si="1">ROUND(E10*C10,0)</f>
        <v>42900</v>
      </c>
    </row>
    <row r="11" spans="1:11" ht="63.75">
      <c r="A11" s="125" t="s">
        <v>119</v>
      </c>
      <c r="B11" s="126" t="s">
        <v>120</v>
      </c>
      <c r="C11" s="129"/>
      <c r="D11" s="68"/>
      <c r="E11" s="68"/>
      <c r="F11" s="117"/>
    </row>
    <row r="12" spans="1:11" ht="25.5">
      <c r="A12" s="130"/>
      <c r="B12" s="131" t="s">
        <v>121</v>
      </c>
      <c r="C12" s="129">
        <f>[3]Sheet1!G39</f>
        <v>3.4159999999999999</v>
      </c>
      <c r="D12" s="68" t="s">
        <v>122</v>
      </c>
      <c r="E12" s="68">
        <v>80879.070000000007</v>
      </c>
      <c r="F12" s="117">
        <f t="shared" si="0"/>
        <v>276282.90000000002</v>
      </c>
    </row>
    <row r="13" spans="1:11" ht="40.5">
      <c r="A13" s="116" t="s">
        <v>123</v>
      </c>
      <c r="B13" s="132" t="s">
        <v>124</v>
      </c>
      <c r="C13" s="133"/>
      <c r="D13" s="134"/>
      <c r="E13" s="133"/>
      <c r="F13" s="117"/>
    </row>
    <row r="14" spans="1:11" ht="25.5">
      <c r="A14" s="116"/>
      <c r="B14" s="132" t="s">
        <v>125</v>
      </c>
      <c r="C14" s="133">
        <f>[3]Sheet1!G47</f>
        <v>102.94000000000001</v>
      </c>
      <c r="D14" s="134" t="s">
        <v>126</v>
      </c>
      <c r="E14" s="133">
        <v>194.5</v>
      </c>
      <c r="F14" s="117">
        <f t="shared" si="0"/>
        <v>20021.830000000002</v>
      </c>
    </row>
    <row r="15" spans="1:11">
      <c r="A15" s="125">
        <v>9</v>
      </c>
      <c r="B15" s="135" t="s">
        <v>101</v>
      </c>
      <c r="C15" s="136"/>
      <c r="D15" s="136"/>
      <c r="E15" s="136"/>
      <c r="F15" s="117"/>
    </row>
    <row r="16" spans="1:11">
      <c r="A16" s="137" t="s">
        <v>22</v>
      </c>
      <c r="B16" s="121" t="str">
        <f>[3]Sheet1!B49</f>
        <v>Sand  (Lead Upto 49 km)</v>
      </c>
      <c r="C16" s="136">
        <f>[3]Sheet2!F9</f>
        <v>12.32</v>
      </c>
      <c r="D16" s="138" t="s">
        <v>127</v>
      </c>
      <c r="E16" s="139">
        <f>[3]Sheet1!I49</f>
        <v>848.82</v>
      </c>
      <c r="F16" s="117">
        <f t="shared" si="0"/>
        <v>10457.459999999999</v>
      </c>
    </row>
    <row r="17" spans="1:6">
      <c r="A17" s="125" t="s">
        <v>24</v>
      </c>
      <c r="B17" s="121" t="str">
        <f>[3]Sheet1!B50</f>
        <v>LOCAL SAND (Lead 13 KM)</v>
      </c>
      <c r="C17" s="136">
        <f>[3]Sheet2!E9</f>
        <v>3.4</v>
      </c>
      <c r="D17" s="138" t="s">
        <v>127</v>
      </c>
      <c r="E17" s="140">
        <f>[3]Sheet1!I50</f>
        <v>417.3</v>
      </c>
      <c r="F17" s="117">
        <f t="shared" si="0"/>
        <v>1418.82</v>
      </c>
    </row>
    <row r="18" spans="1:6">
      <c r="A18" s="125" t="s">
        <v>26</v>
      </c>
      <c r="B18" s="121" t="str">
        <f>[3]Sheet1!B51</f>
        <v>Stone Boulder (Lead 36 KM)</v>
      </c>
      <c r="C18" s="141">
        <f>[3]Sheet2!H9</f>
        <v>5.67</v>
      </c>
      <c r="D18" s="138" t="s">
        <v>127</v>
      </c>
      <c r="E18" s="140">
        <f>[3]Sheet1!I51</f>
        <v>679.66</v>
      </c>
      <c r="F18" s="117">
        <f t="shared" si="0"/>
        <v>3853.67</v>
      </c>
    </row>
    <row r="19" spans="1:6">
      <c r="A19" s="125" t="s">
        <v>28</v>
      </c>
      <c r="B19" s="121" t="str">
        <f>[3]Sheet1!B52</f>
        <v>Stone Chips (Lead 22KM)</v>
      </c>
      <c r="C19" s="136">
        <f>[3]Sheet2!G9</f>
        <v>24.64</v>
      </c>
      <c r="D19" s="138" t="s">
        <v>127</v>
      </c>
      <c r="E19" s="140">
        <f>[3]Sheet1!I52</f>
        <v>447.06</v>
      </c>
      <c r="F19" s="117">
        <f t="shared" si="0"/>
        <v>11015.56</v>
      </c>
    </row>
    <row r="20" spans="1:6">
      <c r="A20" s="125" t="s">
        <v>30</v>
      </c>
      <c r="B20" s="121" t="str">
        <f>[3]Sheet1!B53</f>
        <v>Earth (Lead 01 KM)</v>
      </c>
      <c r="C20" s="142">
        <f>[3]Sheet2!I9</f>
        <v>36.159728122344944</v>
      </c>
      <c r="D20" s="138" t="s">
        <v>127</v>
      </c>
      <c r="E20" s="139">
        <f>[3]Sheet1!I53</f>
        <v>117.54</v>
      </c>
      <c r="F20" s="117">
        <f t="shared" si="0"/>
        <v>4250.21</v>
      </c>
    </row>
    <row r="21" spans="1:6">
      <c r="A21" s="143"/>
      <c r="B21" s="143"/>
      <c r="C21" s="143"/>
      <c r="D21" s="143"/>
      <c r="E21" s="143" t="s">
        <v>46</v>
      </c>
      <c r="F21" s="140">
        <f>SUM(F5:F20)</f>
        <v>519978.30000000005</v>
      </c>
    </row>
    <row r="22" spans="1:6">
      <c r="A22" s="234" t="s">
        <v>128</v>
      </c>
      <c r="B22" s="235"/>
      <c r="C22" s="235"/>
      <c r="D22" s="235"/>
      <c r="E22" s="236"/>
      <c r="F22" s="140">
        <f>F21*18%</f>
        <v>93596.094000000012</v>
      </c>
    </row>
    <row r="23" spans="1:6">
      <c r="A23" s="225" t="s">
        <v>129</v>
      </c>
      <c r="B23" s="226"/>
      <c r="C23" s="226"/>
      <c r="D23" s="226"/>
      <c r="E23" s="227"/>
      <c r="F23" s="140">
        <f>SUM(F21:F22)</f>
        <v>613574.39400000009</v>
      </c>
    </row>
    <row r="24" spans="1:6">
      <c r="A24" s="234" t="s">
        <v>130</v>
      </c>
      <c r="B24" s="235"/>
      <c r="C24" s="235"/>
      <c r="D24" s="235"/>
      <c r="E24" s="236"/>
      <c r="F24" s="144">
        <f>F23*1%</f>
        <v>6135.7439400000012</v>
      </c>
    </row>
    <row r="25" spans="1:6">
      <c r="A25" s="225" t="s">
        <v>129</v>
      </c>
      <c r="B25" s="226"/>
      <c r="C25" s="226"/>
      <c r="D25" s="226"/>
      <c r="E25" s="227"/>
      <c r="F25" s="145">
        <f>SUM(F23:F24)</f>
        <v>619710.13794000004</v>
      </c>
    </row>
  </sheetData>
  <mergeCells count="7">
    <mergeCell ref="A25:E25"/>
    <mergeCell ref="B1:F1"/>
    <mergeCell ref="B2:F2"/>
    <mergeCell ref="B3:F3"/>
    <mergeCell ref="A22:E22"/>
    <mergeCell ref="A23:E23"/>
    <mergeCell ref="A24:E24"/>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RowHeight="18.75"/>
  <cols>
    <col min="1" max="1" width="5.59765625" customWidth="1"/>
    <col min="2" max="2" width="27.3984375" customWidth="1"/>
    <col min="5" max="5" width="7.796875" customWidth="1"/>
    <col min="6" max="6" width="11.296875" customWidth="1"/>
  </cols>
  <sheetData>
    <row r="1" spans="1:6" ht="36" customHeight="1">
      <c r="A1" s="243" t="s">
        <v>36</v>
      </c>
      <c r="B1" s="243"/>
      <c r="C1" s="243"/>
      <c r="D1" s="243"/>
      <c r="E1" s="243"/>
      <c r="F1" s="243"/>
    </row>
    <row r="2" spans="1:6" ht="21" customHeight="1">
      <c r="A2" s="244" t="s">
        <v>37</v>
      </c>
      <c r="B2" s="244"/>
      <c r="C2" s="244"/>
      <c r="D2" s="244"/>
      <c r="E2" s="244"/>
      <c r="F2" s="244"/>
    </row>
    <row r="3" spans="1:6" ht="39" customHeight="1">
      <c r="A3" s="245" t="str">
        <f>[4]ESTIMATE!A2</f>
        <v xml:space="preserve">Name of Work :-IMPROVEMENT OF PCC ROAD AT IMLI TOLA UNDER WARD NO. 23 </v>
      </c>
      <c r="B3" s="245"/>
      <c r="C3" s="245"/>
      <c r="D3" s="245"/>
      <c r="E3" s="245"/>
      <c r="F3" s="245"/>
    </row>
    <row r="4" spans="1:6" ht="30">
      <c r="A4" s="36" t="s">
        <v>38</v>
      </c>
      <c r="B4" s="37" t="s">
        <v>39</v>
      </c>
      <c r="C4" s="37" t="s">
        <v>5</v>
      </c>
      <c r="D4" s="37" t="s">
        <v>6</v>
      </c>
      <c r="E4" s="38" t="s">
        <v>40</v>
      </c>
      <c r="F4" s="39" t="s">
        <v>41</v>
      </c>
    </row>
    <row r="5" spans="1:6" ht="25.5">
      <c r="A5" s="36">
        <v>1</v>
      </c>
      <c r="B5" s="40" t="s">
        <v>42</v>
      </c>
      <c r="C5" s="41">
        <f>[4]ESTIMATE!G4</f>
        <v>2</v>
      </c>
      <c r="D5" s="42" t="s">
        <v>43</v>
      </c>
      <c r="E5" s="43">
        <f>[4]ESTIMATE!I4</f>
        <v>326.85000000000002</v>
      </c>
      <c r="F5" s="44">
        <f>ROUND(C5*E5,2)</f>
        <v>653.70000000000005</v>
      </c>
    </row>
    <row r="6" spans="1:6" ht="76.5">
      <c r="A6" s="36" t="str">
        <f>[4]ESTIMATE!A5</f>
        <v>2.     5.3.1.1</v>
      </c>
      <c r="B6" s="45" t="s">
        <v>44</v>
      </c>
      <c r="C6" s="41">
        <f>[4]ESTIMATE!G8</f>
        <v>31.22</v>
      </c>
      <c r="D6" s="42" t="s">
        <v>11</v>
      </c>
      <c r="E6" s="46">
        <f>[4]ESTIMATE!I8</f>
        <v>4961.7299999999996</v>
      </c>
      <c r="F6" s="44">
        <f>ROUND(C6*E6,2)</f>
        <v>154905.21</v>
      </c>
    </row>
    <row r="7" spans="1:6" ht="51">
      <c r="A7" s="36" t="str">
        <f>[4]ESTIMATE!A9</f>
        <v>3                 5.3.17.1</v>
      </c>
      <c r="B7" s="47" t="s">
        <v>19</v>
      </c>
      <c r="C7" s="48">
        <f>[4]ESTIMATE!G12</f>
        <v>19.52</v>
      </c>
      <c r="D7" s="49" t="s">
        <v>20</v>
      </c>
      <c r="E7" s="50">
        <f>[4]ESTIMATE!I12</f>
        <v>194.5</v>
      </c>
      <c r="F7" s="44">
        <f>ROUND(C7*E7,2)</f>
        <v>3796.64</v>
      </c>
    </row>
    <row r="8" spans="1:6">
      <c r="A8" s="36">
        <f>[4]ESTIMATE!A13</f>
        <v>4</v>
      </c>
      <c r="B8" s="51" t="s">
        <v>21</v>
      </c>
      <c r="C8" s="52"/>
      <c r="D8" s="52"/>
      <c r="E8" s="53"/>
      <c r="F8" s="44"/>
    </row>
    <row r="9" spans="1:6">
      <c r="A9" s="37" t="s">
        <v>22</v>
      </c>
      <c r="B9" s="54" t="s">
        <v>23</v>
      </c>
      <c r="C9" s="52">
        <f>'[4]MATERIAL '!F4</f>
        <v>13.42</v>
      </c>
      <c r="D9" s="52" t="s">
        <v>11</v>
      </c>
      <c r="E9" s="43">
        <f>[4]ESTIMATE!I14</f>
        <v>848.82</v>
      </c>
      <c r="F9" s="44">
        <f>ROUND(C9*E9,2)</f>
        <v>11391.16</v>
      </c>
    </row>
    <row r="10" spans="1:6">
      <c r="A10" s="37" t="s">
        <v>26</v>
      </c>
      <c r="B10" s="55" t="s">
        <v>45</v>
      </c>
      <c r="C10" s="52">
        <f>'[4]MATERIAL '!G4</f>
        <v>26.85</v>
      </c>
      <c r="D10" s="52" t="s">
        <v>11</v>
      </c>
      <c r="E10" s="43">
        <f>[4]ESTIMATE!I15</f>
        <v>447.06</v>
      </c>
      <c r="F10" s="44">
        <f>ROUND(C10*E10,2)</f>
        <v>12003.56</v>
      </c>
    </row>
    <row r="11" spans="1:6">
      <c r="A11" s="56"/>
      <c r="B11" s="57"/>
      <c r="C11" s="246" t="s">
        <v>46</v>
      </c>
      <c r="D11" s="247"/>
      <c r="E11" s="248"/>
      <c r="F11" s="44">
        <f>SUM(F5:F10)</f>
        <v>182750.27000000002</v>
      </c>
    </row>
    <row r="12" spans="1:6">
      <c r="A12" s="56"/>
      <c r="B12" s="57"/>
      <c r="C12" s="240" t="s">
        <v>47</v>
      </c>
      <c r="D12" s="241"/>
      <c r="E12" s="242"/>
      <c r="F12" s="44">
        <f>F11*18%</f>
        <v>32895.048600000002</v>
      </c>
    </row>
    <row r="13" spans="1:6">
      <c r="A13" s="56"/>
      <c r="B13" s="57"/>
      <c r="C13" s="246" t="s">
        <v>46</v>
      </c>
      <c r="D13" s="247"/>
      <c r="E13" s="248"/>
      <c r="F13" s="44">
        <f>SUM(F11+F12)</f>
        <v>215645.31860000003</v>
      </c>
    </row>
    <row r="14" spans="1:6">
      <c r="A14" s="56"/>
      <c r="B14" s="57"/>
      <c r="C14" s="237" t="s">
        <v>48</v>
      </c>
      <c r="D14" s="238"/>
      <c r="E14" s="239"/>
      <c r="F14" s="44">
        <f>F13*1%</f>
        <v>2156.4531860000002</v>
      </c>
    </row>
    <row r="15" spans="1:6">
      <c r="A15" s="56"/>
      <c r="B15" s="57"/>
      <c r="C15" s="240" t="s">
        <v>46</v>
      </c>
      <c r="D15" s="241"/>
      <c r="E15" s="242"/>
      <c r="F15" s="44">
        <f>SUM(F13:F14)</f>
        <v>217801.77178600003</v>
      </c>
    </row>
    <row r="16" spans="1:6">
      <c r="A16" s="56"/>
      <c r="B16" s="57"/>
      <c r="C16" s="240" t="s">
        <v>49</v>
      </c>
      <c r="D16" s="241"/>
      <c r="E16" s="242"/>
      <c r="F16" s="44">
        <v>217802</v>
      </c>
    </row>
    <row r="17" spans="1:6">
      <c r="A17" s="58"/>
      <c r="B17" s="59"/>
      <c r="C17" s="60"/>
      <c r="D17" s="60"/>
      <c r="E17" s="61"/>
      <c r="F17" s="62"/>
    </row>
    <row r="18" spans="1:6">
      <c r="A18" s="63"/>
      <c r="B18" s="64"/>
      <c r="C18" s="65"/>
      <c r="D18" s="65"/>
      <c r="E18" s="66"/>
      <c r="F18" s="62"/>
    </row>
    <row r="19" spans="1:6">
      <c r="A19" s="63"/>
      <c r="B19" s="64"/>
      <c r="C19" s="65"/>
      <c r="D19" s="65"/>
      <c r="E19" s="66"/>
      <c r="F19" s="62"/>
    </row>
    <row r="20" spans="1:6">
      <c r="A20" s="63"/>
      <c r="B20" s="67"/>
      <c r="C20" s="65"/>
      <c r="D20" s="65"/>
      <c r="E20" s="66"/>
      <c r="F20" s="63"/>
    </row>
    <row r="21" spans="1:6">
      <c r="A21" s="63"/>
      <c r="B21" s="67"/>
      <c r="C21" s="65"/>
      <c r="D21" s="65"/>
      <c r="E21" s="66"/>
      <c r="F21" s="63"/>
    </row>
  </sheetData>
  <mergeCells count="9">
    <mergeCell ref="C14:E14"/>
    <mergeCell ref="C15:E15"/>
    <mergeCell ref="C16:E16"/>
    <mergeCell ref="A1:F1"/>
    <mergeCell ref="A2:F2"/>
    <mergeCell ref="A3:F3"/>
    <mergeCell ref="C11:E11"/>
    <mergeCell ref="C12:E12"/>
    <mergeCell ref="C13:E1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F34"/>
  <sheetViews>
    <sheetView workbookViewId="0">
      <selection activeCell="A3" sqref="A3:F3"/>
    </sheetView>
  </sheetViews>
  <sheetFormatPr defaultRowHeight="18.75"/>
  <cols>
    <col min="2" max="2" width="41.296875" customWidth="1"/>
    <col min="5" max="5" width="7.796875" style="95" bestFit="1" customWidth="1"/>
    <col min="6" max="6" width="10.796875" style="95" bestFit="1" customWidth="1"/>
  </cols>
  <sheetData>
    <row r="1" spans="1:6" ht="23.25">
      <c r="A1" s="251" t="s">
        <v>50</v>
      </c>
      <c r="B1" s="252"/>
      <c r="C1" s="252"/>
      <c r="D1" s="252"/>
      <c r="E1" s="252"/>
      <c r="F1" s="253"/>
    </row>
    <row r="2" spans="1:6" ht="18" customHeight="1">
      <c r="A2" s="254" t="s">
        <v>51</v>
      </c>
      <c r="B2" s="255"/>
      <c r="C2" s="255"/>
      <c r="D2" s="255"/>
      <c r="E2" s="255"/>
      <c r="F2" s="256"/>
    </row>
    <row r="3" spans="1:6" ht="36" customHeight="1">
      <c r="A3" s="257" t="str">
        <f>[5]ESTIMATE!A2</f>
        <v>Name of Work :-IMPROVEMENT OF PCC ROAD AT TASLIM MASZID ROAD, INFRONT OF WATER TANK GALI FROM MARHUM YUNUS HOUSE TO SHAMS TAUHID HOUSE AND CONSTRUCTION OF RCC CULVERT AT NEAR CENTRAL STREET LAL BUILDING UNDER WARD NO-23</v>
      </c>
      <c r="B3" s="258"/>
      <c r="C3" s="258"/>
      <c r="D3" s="258"/>
      <c r="E3" s="258"/>
      <c r="F3" s="259"/>
    </row>
    <row r="4" spans="1:6" ht="30">
      <c r="A4" s="39" t="s">
        <v>52</v>
      </c>
      <c r="B4" s="69" t="s">
        <v>39</v>
      </c>
      <c r="C4" s="69" t="s">
        <v>5</v>
      </c>
      <c r="D4" s="69" t="s">
        <v>6</v>
      </c>
      <c r="E4" s="70" t="s">
        <v>53</v>
      </c>
      <c r="F4" s="70" t="s">
        <v>54</v>
      </c>
    </row>
    <row r="5" spans="1:6" ht="28.5">
      <c r="A5" s="39">
        <f>[5]ESTIMATE!A4</f>
        <v>1</v>
      </c>
      <c r="B5" s="71" t="str">
        <f>[5]ESTIMATE!B4</f>
        <v>Labour for site clearence before and after the work, Including Head load &amp;Groove cutting etc.</v>
      </c>
      <c r="C5" s="72">
        <f>[5]ESTIMATE!G4</f>
        <v>4</v>
      </c>
      <c r="D5" s="73" t="str">
        <f>[5]ESTIMATE!H4</f>
        <v>No.</v>
      </c>
      <c r="E5" s="44">
        <f>[5]ESTIMATE!I4</f>
        <v>326.85000000000002</v>
      </c>
      <c r="F5" s="44">
        <f t="shared" ref="F5:F16" si="0">ROUND(C5*E5,2)</f>
        <v>1307.4000000000001</v>
      </c>
    </row>
    <row r="6" spans="1:6" ht="42.75">
      <c r="A6" s="39" t="str">
        <f>[5]ESTIMATE!A5</f>
        <v>2     5.10.2</v>
      </c>
      <c r="B6" s="71" t="str">
        <f>[5]ESTIMATE!B5</f>
        <v>Dismantling plain cement or lime concrete work including ………do…….complete as per specification and  direction of E/I.</v>
      </c>
      <c r="C6" s="72">
        <f>[5]ESTIMATE!G9</f>
        <v>0.35</v>
      </c>
      <c r="D6" s="73" t="s">
        <v>55</v>
      </c>
      <c r="E6" s="44">
        <f>[5]ESTIMATE!I9</f>
        <v>955.89</v>
      </c>
      <c r="F6" s="44">
        <f t="shared" si="0"/>
        <v>334.56</v>
      </c>
    </row>
    <row r="7" spans="1:6" ht="57">
      <c r="A7" s="39" t="str">
        <f>[5]ESTIMATE!A10</f>
        <v>3
5.10.3</v>
      </c>
      <c r="B7" s="71" t="str">
        <f>[5]ESTIMATE!B10</f>
        <v>Dismantling R.C.C work  including stacking serviceable materials in countable stacks within 15M.lead and disposal of unserviceable materials with all leads complete  as per direction of E/I.</v>
      </c>
      <c r="C7" s="72">
        <f>[5]ESTIMATE!G14</f>
        <v>0.43</v>
      </c>
      <c r="D7" s="73" t="s">
        <v>55</v>
      </c>
      <c r="E7" s="44">
        <f>[5]ESTIMATE!I14</f>
        <v>1993.04</v>
      </c>
      <c r="F7" s="44">
        <f t="shared" si="0"/>
        <v>857.01</v>
      </c>
    </row>
    <row r="8" spans="1:6" ht="85.5">
      <c r="A8" s="39" t="str">
        <f>[5]ESTIMATE!A15</f>
        <v>4       5.1.1.</v>
      </c>
      <c r="B8" s="71" t="str">
        <f>[5]ESTIMATE!B15</f>
        <v xml:space="preserve">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                                                                              </v>
      </c>
      <c r="C8" s="72">
        <f>[5]ESTIMATE!G19</f>
        <v>5</v>
      </c>
      <c r="D8" s="73" t="s">
        <v>55</v>
      </c>
      <c r="E8" s="44">
        <f>[5]ESTIMATE!I19</f>
        <v>151.82</v>
      </c>
      <c r="F8" s="44">
        <f t="shared" si="0"/>
        <v>759.1</v>
      </c>
    </row>
    <row r="9" spans="1:6" ht="85.5">
      <c r="A9" s="39" t="str">
        <f>[5]ESTIMATE!A20</f>
        <v>5.         5.1.10</v>
      </c>
      <c r="B9" s="71" t="str">
        <f>[5]ESTIMATE!B20</f>
        <v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 Mode of measurement compacted volume. )                               </v>
      </c>
      <c r="C9" s="72">
        <f>[5]ESTIMATE!G23</f>
        <v>0.43</v>
      </c>
      <c r="D9" s="73" t="s">
        <v>55</v>
      </c>
      <c r="E9" s="44">
        <f>[5]ESTIMATE!I23</f>
        <v>589.51</v>
      </c>
      <c r="F9" s="44">
        <f t="shared" si="0"/>
        <v>253.49</v>
      </c>
    </row>
    <row r="10" spans="1:6" ht="57">
      <c r="A10" s="39" t="str">
        <f>[5]ESTIMATE!A24</f>
        <v>6.       5.6.8 (C.I.W.)</v>
      </c>
      <c r="B10" s="71" t="str">
        <f>[5]ESTIMATE!B24</f>
        <v>Supplying and laying (properly as per design and drawing )rip-rap with good quality of boulders duly packed including the cost of materials,royalty all taxes etc.but excluding the cost of carriage, all complete as per specification and direction of E/I.</v>
      </c>
      <c r="C10" s="72">
        <f>[5]ESTIMATE!G27</f>
        <v>0.73</v>
      </c>
      <c r="D10" s="73" t="s">
        <v>55</v>
      </c>
      <c r="E10" s="44">
        <f>[5]ESTIMATE!I27</f>
        <v>1756.4</v>
      </c>
      <c r="F10" s="44">
        <f t="shared" si="0"/>
        <v>1282.17</v>
      </c>
    </row>
    <row r="11" spans="1:6" ht="99.75">
      <c r="A11" s="39" t="str">
        <f>[5]ESTIMATE!A28</f>
        <v>7     5.3.10</v>
      </c>
      <c r="B11" s="71" t="str">
        <f>[5]ESTIMATE!B28</f>
        <v>Providing R.C.C M 200 in nominal mix (1:1.5:3)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v>
      </c>
      <c r="C11" s="72">
        <f>[5]ESTIMATE!G32</f>
        <v>2.38</v>
      </c>
      <c r="D11" s="73" t="s">
        <v>55</v>
      </c>
      <c r="E11" s="44">
        <f>[5]ESTIMATE!I32</f>
        <v>6082.45</v>
      </c>
      <c r="F11" s="44">
        <f t="shared" si="0"/>
        <v>14476.23</v>
      </c>
    </row>
    <row r="12" spans="1:6" ht="99.75">
      <c r="A12" s="39" t="str">
        <f>[5]ESTIMATE!A33</f>
        <v>8                  5.3.11</v>
      </c>
      <c r="B12" s="71" t="str">
        <f>[5]ESTIMATE!B33</f>
        <v xml:space="preserve">Reinforced cement concrete work in beam, suspended floors, roofs having slope up to 15° landing,balconies, shelves, chajjas, lintel, bands, plain window sills, staircases and spiral stair cases above plinth level up to floor five level, excluding the cost of centering, shuttering, finishing and reinfocement, with 1:1.5:3(1 cement : 1.5 coarse sand(zone-iii) : 3 graded  stone aggregate 20mm nominal size)                                                             </v>
      </c>
      <c r="C12" s="72">
        <f>[5]ESTIMATE!G37</f>
        <v>4.7</v>
      </c>
      <c r="D12" s="73" t="s">
        <v>55</v>
      </c>
      <c r="E12" s="44">
        <f>[5]ESTIMATE!I37</f>
        <v>6308.87</v>
      </c>
      <c r="F12" s="44">
        <f t="shared" si="0"/>
        <v>29651.69</v>
      </c>
    </row>
    <row r="13" spans="1:6" ht="100.5" customHeight="1">
      <c r="A13" s="39">
        <f>[5]ESTIMATE!A38</f>
        <v>9</v>
      </c>
      <c r="B13" s="71" t="str">
        <f>[5]ESTIMATE!B38</f>
        <v xml:space="preserve">Providing  Tor steel reinforcement of 8mm, 10mm, 12mm, and 16mm dia rods bars as per approved design and drawing with cutting,bending and binding with annealed wire with cost of wire,removal of rust,placing the rods in position (excluding carriage of bars to work site), all complete as per building specification and direction of E/I. TMT Fe 500 (only valid for SAIL and TATA steel,JSPL,Electro steel Ltd Bokaro and Vizag (RINL) </v>
      </c>
      <c r="C13" s="72">
        <f>[5]ESTIMATE!G41</f>
        <v>0.08</v>
      </c>
      <c r="D13" s="73" t="s">
        <v>56</v>
      </c>
      <c r="E13" s="44">
        <f>[5]ESTIMATE!I41</f>
        <v>83314.02</v>
      </c>
      <c r="F13" s="44">
        <f t="shared" si="0"/>
        <v>6665.12</v>
      </c>
    </row>
    <row r="14" spans="1:6">
      <c r="A14" s="39" t="str">
        <f>[5]ESTIMATE!A42</f>
        <v>5.5.5(a)</v>
      </c>
      <c r="B14" s="71"/>
      <c r="C14" s="72">
        <f>[5]ESTIMATE!G45</f>
        <v>0.52</v>
      </c>
      <c r="D14" s="73" t="s">
        <v>56</v>
      </c>
      <c r="E14" s="44">
        <f>[5]ESTIMATE!I45</f>
        <v>82096.539999999994</v>
      </c>
      <c r="F14" s="44">
        <f t="shared" si="0"/>
        <v>42690.2</v>
      </c>
    </row>
    <row r="15" spans="1:6" ht="65.099999999999994" customHeight="1">
      <c r="A15" s="39" t="str">
        <f>[5]ESTIMATE!A46</f>
        <v>10.     5.3.1.1</v>
      </c>
      <c r="B15" s="74" t="str">
        <f>[5]ESTIMATE!B46</f>
        <v xml:space="preserve">Providing and laying in position cement concrete of specified grade excluding the cost of centering and shuttering- All work upto plinth level : 1:1½:3 (1 cemet : 1½ coarse sand (zone-iii) : 3 graded stone aggregate 20mm nominal size )  </v>
      </c>
      <c r="C15" s="72">
        <f>[5]ESTIMATE!G49</f>
        <v>32.71</v>
      </c>
      <c r="D15" s="73" t="s">
        <v>55</v>
      </c>
      <c r="E15" s="44">
        <f>[5]ESTIMATE!I49</f>
        <v>4961.7299999999996</v>
      </c>
      <c r="F15" s="44">
        <f t="shared" si="0"/>
        <v>162298.19</v>
      </c>
    </row>
    <row r="16" spans="1:6" ht="42.75">
      <c r="A16" s="39" t="str">
        <f>[5]ESTIMATE!A50</f>
        <v>11               5.3.17.1</v>
      </c>
      <c r="B16" s="71" t="str">
        <f>[5]ESTIMATE!B50</f>
        <v>Centering and shuttering including strutting, propping etc. and removal of from for Foundations, footings, bases of columns, etc. for mass concrete.</v>
      </c>
      <c r="C16" s="72">
        <f>[5]ESTIMATE!G56</f>
        <v>61.27</v>
      </c>
      <c r="D16" s="75" t="s">
        <v>57</v>
      </c>
      <c r="E16" s="70">
        <f>[5]ESTIMATE!I56</f>
        <v>194.5</v>
      </c>
      <c r="F16" s="70">
        <f t="shared" si="0"/>
        <v>11917.02</v>
      </c>
    </row>
    <row r="17" spans="1:6">
      <c r="A17" s="39">
        <f>[5]ESTIMATE!A57</f>
        <v>12</v>
      </c>
      <c r="B17" s="76" t="s">
        <v>21</v>
      </c>
      <c r="C17" s="73"/>
      <c r="D17" s="77"/>
      <c r="E17" s="78"/>
      <c r="F17" s="44"/>
    </row>
    <row r="18" spans="1:6">
      <c r="A18" s="79" t="str">
        <f>[5]ESTIMATE!A58</f>
        <v>(i)</v>
      </c>
      <c r="B18" s="80" t="str">
        <f>[5]ESTIMATE!B58</f>
        <v>SAND-LEAD-49KM</v>
      </c>
      <c r="C18" s="73">
        <f>[5]ESTIMATE!G58</f>
        <v>17.11</v>
      </c>
      <c r="D18" s="77" t="s">
        <v>11</v>
      </c>
      <c r="E18" s="70">
        <f>[5]ESTIMATE!I58</f>
        <v>848.82</v>
      </c>
      <c r="F18" s="44">
        <f t="shared" ref="F18:F22" si="1">ROUND(C18*E18,2)</f>
        <v>14523.31</v>
      </c>
    </row>
    <row r="19" spans="1:6">
      <c r="A19" s="79" t="str">
        <f>[5]ESTIMATE!A59</f>
        <v>(ii)</v>
      </c>
      <c r="B19" s="80" t="str">
        <f>[5]ESTIMATE!B59</f>
        <v>LOCAL SAND-LEAD-14KM</v>
      </c>
      <c r="C19" s="73">
        <f>[5]ESTIMATE!G59</f>
        <v>0.43</v>
      </c>
      <c r="D19" s="77" t="s">
        <v>11</v>
      </c>
      <c r="E19" s="70">
        <f>[5]ESTIMATE!I59</f>
        <v>328.02</v>
      </c>
      <c r="F19" s="44">
        <f t="shared" si="1"/>
        <v>141.05000000000001</v>
      </c>
    </row>
    <row r="20" spans="1:6">
      <c r="A20" s="79" t="str">
        <f>[5]ESTIMATE!A60</f>
        <v>(iii)</v>
      </c>
      <c r="B20" s="81" t="str">
        <f>[5]ESTIMATE!B60</f>
        <v>STONE CHIPS-LEAD-22KM</v>
      </c>
      <c r="C20" s="73">
        <f>[5]ESTIMATE!G60</f>
        <v>34.22</v>
      </c>
      <c r="D20" s="77" t="s">
        <v>11</v>
      </c>
      <c r="E20" s="70">
        <f>[5]ESTIMATE!I60</f>
        <v>447.06</v>
      </c>
      <c r="F20" s="44">
        <f t="shared" si="1"/>
        <v>15298.39</v>
      </c>
    </row>
    <row r="21" spans="1:6">
      <c r="A21" s="79" t="str">
        <f>[5]ESTIMATE!A61</f>
        <v>(iv)</v>
      </c>
      <c r="B21" s="81" t="str">
        <f>[5]ESTIMATE!B61</f>
        <v>BOULDER-LEAD-36KM</v>
      </c>
      <c r="C21" s="73">
        <f>[5]ESTIMATE!G61</f>
        <v>0.73</v>
      </c>
      <c r="D21" s="77" t="s">
        <v>11</v>
      </c>
      <c r="E21" s="70">
        <f>[5]ESTIMATE!I61</f>
        <v>679.66</v>
      </c>
      <c r="F21" s="44">
        <f t="shared" si="1"/>
        <v>496.15</v>
      </c>
    </row>
    <row r="22" spans="1:6">
      <c r="A22" s="79" t="str">
        <f>[5]ESTIMATE!A62</f>
        <v>(v)</v>
      </c>
      <c r="B22" s="71" t="str">
        <f>[5]ESTIMATE!B62</f>
        <v>EARTH-LEAD-01km</v>
      </c>
      <c r="C22" s="73">
        <f>[5]ESTIMATE!G62</f>
        <v>5</v>
      </c>
      <c r="D22" s="77" t="s">
        <v>11</v>
      </c>
      <c r="E22" s="70">
        <f>[5]ESTIMATE!I62</f>
        <v>117.54</v>
      </c>
      <c r="F22" s="44">
        <f t="shared" si="1"/>
        <v>587.70000000000005</v>
      </c>
    </row>
    <row r="23" spans="1:6">
      <c r="A23" s="82"/>
      <c r="B23" s="82"/>
      <c r="C23" s="249" t="s">
        <v>46</v>
      </c>
      <c r="D23" s="249"/>
      <c r="E23" s="250"/>
      <c r="F23" s="44">
        <f>SUM(F5:F22)</f>
        <v>303538.78000000003</v>
      </c>
    </row>
    <row r="24" spans="1:6">
      <c r="A24" s="82"/>
      <c r="B24" s="82"/>
      <c r="C24" s="260" t="s">
        <v>47</v>
      </c>
      <c r="D24" s="249"/>
      <c r="E24" s="250"/>
      <c r="F24" s="44">
        <f>ROUND(F23*0.18,2)</f>
        <v>54636.98</v>
      </c>
    </row>
    <row r="25" spans="1:6">
      <c r="A25" s="82"/>
      <c r="B25" s="82"/>
      <c r="C25" s="260" t="s">
        <v>46</v>
      </c>
      <c r="D25" s="249"/>
      <c r="E25" s="250"/>
      <c r="F25" s="44">
        <f>SUM(F23:F24)</f>
        <v>358175.76</v>
      </c>
    </row>
    <row r="26" spans="1:6">
      <c r="A26" s="82"/>
      <c r="B26" s="82"/>
      <c r="C26" s="249" t="s">
        <v>58</v>
      </c>
      <c r="D26" s="249"/>
      <c r="E26" s="250"/>
      <c r="F26" s="44">
        <f>ROUND(F25*0.01,2)</f>
        <v>3581.76</v>
      </c>
    </row>
    <row r="27" spans="1:6">
      <c r="A27" s="82"/>
      <c r="B27" s="82"/>
      <c r="C27" s="249" t="s">
        <v>46</v>
      </c>
      <c r="D27" s="249"/>
      <c r="E27" s="250"/>
      <c r="F27" s="44">
        <f>SUM(F25:F26)</f>
        <v>361757.52</v>
      </c>
    </row>
    <row r="28" spans="1:6">
      <c r="A28" s="82"/>
      <c r="B28" s="82"/>
      <c r="C28" s="249" t="s">
        <v>49</v>
      </c>
      <c r="D28" s="249"/>
      <c r="E28" s="250"/>
      <c r="F28" s="44">
        <v>361758</v>
      </c>
    </row>
    <row r="29" spans="1:6">
      <c r="A29" s="83"/>
      <c r="B29" s="83"/>
      <c r="C29" s="84"/>
      <c r="D29" s="84"/>
      <c r="E29" s="85"/>
      <c r="F29" s="86"/>
    </row>
    <row r="30" spans="1:6">
      <c r="A30" s="87"/>
      <c r="B30" s="87"/>
      <c r="C30" s="88"/>
      <c r="D30" s="88"/>
      <c r="E30" s="89"/>
      <c r="F30" s="90"/>
    </row>
    <row r="31" spans="1:6">
      <c r="A31" s="62"/>
      <c r="B31" s="91"/>
      <c r="C31" s="91"/>
      <c r="D31" s="91"/>
      <c r="E31" s="92"/>
      <c r="F31" s="92"/>
    </row>
    <row r="32" spans="1:6">
      <c r="A32" s="62"/>
      <c r="B32" s="91"/>
      <c r="C32" s="91"/>
      <c r="D32" s="91"/>
      <c r="E32" s="92"/>
      <c r="F32" s="92"/>
    </row>
    <row r="33" spans="1:6">
      <c r="A33" s="62"/>
      <c r="B33" s="93"/>
      <c r="C33" s="94"/>
      <c r="D33" s="91"/>
      <c r="E33" s="92"/>
      <c r="F33" s="90"/>
    </row>
    <row r="34" spans="1:6">
      <c r="A34" s="62"/>
      <c r="B34" s="93"/>
      <c r="C34" s="94"/>
      <c r="D34" s="91"/>
      <c r="E34" s="92"/>
      <c r="F34" s="90"/>
    </row>
  </sheetData>
  <mergeCells count="9">
    <mergeCell ref="C26:E26"/>
    <mergeCell ref="C27:E27"/>
    <mergeCell ref="C28:E28"/>
    <mergeCell ref="A1:F1"/>
    <mergeCell ref="A2:F2"/>
    <mergeCell ref="A3:F3"/>
    <mergeCell ref="C23:E23"/>
    <mergeCell ref="C24:E24"/>
    <mergeCell ref="C25:E25"/>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27"/>
  <sheetViews>
    <sheetView topLeftCell="A10" workbookViewId="0">
      <selection activeCell="D6" sqref="D6:E7"/>
    </sheetView>
  </sheetViews>
  <sheetFormatPr defaultRowHeight="18.75"/>
  <cols>
    <col min="1" max="1" width="5.59765625" customWidth="1"/>
    <col min="2" max="2" width="28.19921875" customWidth="1"/>
    <col min="5" max="5" width="7.796875" customWidth="1"/>
    <col min="6" max="6" width="11.296875" customWidth="1"/>
  </cols>
  <sheetData>
    <row r="1" spans="1:6" ht="28.5" customHeight="1">
      <c r="A1" s="261" t="s">
        <v>36</v>
      </c>
      <c r="B1" s="261"/>
      <c r="C1" s="261"/>
      <c r="D1" s="261"/>
      <c r="E1" s="261"/>
      <c r="F1" s="261"/>
    </row>
    <row r="2" spans="1:6" ht="21" customHeight="1">
      <c r="A2" s="262" t="s">
        <v>37</v>
      </c>
      <c r="B2" s="262"/>
      <c r="C2" s="262"/>
      <c r="D2" s="262"/>
      <c r="E2" s="262"/>
      <c r="F2" s="262"/>
    </row>
    <row r="3" spans="1:6" ht="39" customHeight="1">
      <c r="A3" s="263" t="str">
        <f>[6]ESTIMATE!A2</f>
        <v xml:space="preserve">Name of Work :-CONSTRUCTION OF PCC ROAD AT BESIDE ARSHI APARTMENT GALI UNDER WARD NO. 23 </v>
      </c>
      <c r="B3" s="263"/>
      <c r="C3" s="263"/>
      <c r="D3" s="263"/>
      <c r="E3" s="263"/>
      <c r="F3" s="263"/>
    </row>
    <row r="4" spans="1:6" ht="30">
      <c r="A4" s="36" t="s">
        <v>38</v>
      </c>
      <c r="B4" s="37" t="s">
        <v>39</v>
      </c>
      <c r="C4" s="37" t="s">
        <v>5</v>
      </c>
      <c r="D4" s="37" t="s">
        <v>6</v>
      </c>
      <c r="E4" s="38" t="s">
        <v>40</v>
      </c>
      <c r="F4" s="39" t="s">
        <v>41</v>
      </c>
    </row>
    <row r="5" spans="1:6" ht="25.5">
      <c r="A5" s="36">
        <v>1</v>
      </c>
      <c r="B5" s="40" t="s">
        <v>42</v>
      </c>
      <c r="C5" s="41">
        <f>[6]ESTIMATE!G4</f>
        <v>3</v>
      </c>
      <c r="D5" s="42" t="s">
        <v>43</v>
      </c>
      <c r="E5" s="43">
        <f>[6]ESTIMATE!I4</f>
        <v>326.85000000000002</v>
      </c>
      <c r="F5" s="44">
        <f t="shared" ref="F5:F10" si="0">ROUND(C5*E5,2)</f>
        <v>980.55</v>
      </c>
    </row>
    <row r="6" spans="1:6" ht="102">
      <c r="A6" s="36" t="str">
        <f>[6]ESTIMATE!A5</f>
        <v>2 (J.B.C.D.5.1.1.)</v>
      </c>
      <c r="B6" s="47" t="s">
        <v>59</v>
      </c>
      <c r="C6" s="41">
        <f>[6]ESTIMATE!G8</f>
        <v>14.73</v>
      </c>
      <c r="D6" s="42" t="s">
        <v>11</v>
      </c>
      <c r="E6" s="50">
        <f>[6]ESTIMATE!I8</f>
        <v>151.82</v>
      </c>
      <c r="F6" s="44">
        <f t="shared" si="0"/>
        <v>2236.31</v>
      </c>
    </row>
    <row r="7" spans="1:6" ht="102">
      <c r="A7" s="96" t="str">
        <f>[6]ESTIMATE!A9</f>
        <v>3.         5.1.10</v>
      </c>
      <c r="B7" s="47" t="str">
        <f>[6]ESTIMATE!B9</f>
        <v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 Mode of measurement compacted volume. )                               </v>
      </c>
      <c r="C7" s="41">
        <f>[6]ESTIMATE!G12</f>
        <v>3.68</v>
      </c>
      <c r="D7" s="42" t="s">
        <v>11</v>
      </c>
      <c r="E7" s="50">
        <f>[6]ESTIMATE!I12</f>
        <v>589.51</v>
      </c>
      <c r="F7" s="44">
        <f t="shared" si="0"/>
        <v>2169.4</v>
      </c>
    </row>
    <row r="8" spans="1:6" ht="76.5">
      <c r="A8" s="36" t="str">
        <f>[6]ESTIMATE!A13</f>
        <v>4.        (J.B.C.D.5.6.8)</v>
      </c>
      <c r="B8" s="47" t="s">
        <v>60</v>
      </c>
      <c r="C8" s="41">
        <f>[6]ESTIMATE!G16</f>
        <v>6.19</v>
      </c>
      <c r="D8" s="42" t="s">
        <v>11</v>
      </c>
      <c r="E8" s="50">
        <f>[6]ESTIMATE!I16</f>
        <v>1756.4</v>
      </c>
      <c r="F8" s="44">
        <f t="shared" si="0"/>
        <v>10872.12</v>
      </c>
    </row>
    <row r="9" spans="1:6" ht="76.5">
      <c r="A9" s="36" t="str">
        <f>[6]ESTIMATE!A17</f>
        <v>5.     5.3.1.1</v>
      </c>
      <c r="B9" s="45" t="s">
        <v>44</v>
      </c>
      <c r="C9" s="41">
        <f>[6]ESTIMATE!G22</f>
        <v>46.02</v>
      </c>
      <c r="D9" s="42" t="s">
        <v>11</v>
      </c>
      <c r="E9" s="46">
        <f>[6]ESTIMATE!I22</f>
        <v>4961.7299999999996</v>
      </c>
      <c r="F9" s="44">
        <f t="shared" si="0"/>
        <v>228338.81</v>
      </c>
    </row>
    <row r="10" spans="1:6" ht="51">
      <c r="A10" s="36" t="str">
        <f>[6]ESTIMATE!A23</f>
        <v>6                 5.3.17.1</v>
      </c>
      <c r="B10" s="47" t="s">
        <v>19</v>
      </c>
      <c r="C10" s="48">
        <f>[6]ESTIMATE!G27</f>
        <v>48.33</v>
      </c>
      <c r="D10" s="49" t="s">
        <v>20</v>
      </c>
      <c r="E10" s="50">
        <f>[6]ESTIMATE!I27</f>
        <v>194.5</v>
      </c>
      <c r="F10" s="44">
        <f t="shared" si="0"/>
        <v>9400.19</v>
      </c>
    </row>
    <row r="11" spans="1:6">
      <c r="A11" s="36">
        <f>[6]ESTIMATE!A28</f>
        <v>7</v>
      </c>
      <c r="B11" s="51" t="s">
        <v>21</v>
      </c>
      <c r="C11" s="52"/>
      <c r="D11" s="52"/>
      <c r="E11" s="53"/>
      <c r="F11" s="44"/>
    </row>
    <row r="12" spans="1:6">
      <c r="A12" s="37" t="s">
        <v>22</v>
      </c>
      <c r="B12" s="54" t="s">
        <v>23</v>
      </c>
      <c r="C12" s="52">
        <f>'[6]MATERIAL '!F7</f>
        <v>19.79</v>
      </c>
      <c r="D12" s="52" t="s">
        <v>11</v>
      </c>
      <c r="E12" s="43">
        <f>[6]ESTIMATE!I29</f>
        <v>848.82</v>
      </c>
      <c r="F12" s="44">
        <f>ROUND(C12*E12,2)</f>
        <v>16798.150000000001</v>
      </c>
    </row>
    <row r="13" spans="1:6">
      <c r="A13" s="37" t="s">
        <v>24</v>
      </c>
      <c r="B13" s="54" t="str">
        <f>[6]ESTIMATE!B30</f>
        <v>LOCAL SAND-14KM</v>
      </c>
      <c r="C13" s="52">
        <f>'[6]MATERIAL '!G4</f>
        <v>3.68</v>
      </c>
      <c r="D13" s="52" t="s">
        <v>11</v>
      </c>
      <c r="E13" s="43">
        <f>[6]ESTIMATE!I30</f>
        <v>328.02</v>
      </c>
      <c r="F13" s="44">
        <f>ROUND(C13*E13,2)</f>
        <v>1207.1099999999999</v>
      </c>
    </row>
    <row r="14" spans="1:6">
      <c r="A14" s="37" t="s">
        <v>26</v>
      </c>
      <c r="B14" s="55" t="s">
        <v>45</v>
      </c>
      <c r="C14" s="52">
        <f>'[6]MATERIAL '!H7</f>
        <v>39.58</v>
      </c>
      <c r="D14" s="52" t="s">
        <v>11</v>
      </c>
      <c r="E14" s="43">
        <f>[6]ESTIMATE!I31</f>
        <v>447.06</v>
      </c>
      <c r="F14" s="44">
        <f>ROUND(C14*E14,2)</f>
        <v>17694.63</v>
      </c>
    </row>
    <row r="15" spans="1:6">
      <c r="A15" s="37" t="s">
        <v>28</v>
      </c>
      <c r="B15" s="55" t="s">
        <v>29</v>
      </c>
      <c r="C15" s="97">
        <f>'[6]MATERIAL '!C5</f>
        <v>6.19</v>
      </c>
      <c r="D15" s="52" t="s">
        <v>11</v>
      </c>
      <c r="E15" s="43">
        <f>[6]ESTIMATE!I32</f>
        <v>679.66</v>
      </c>
      <c r="F15" s="44">
        <f>ROUND(C15*E15,2)</f>
        <v>4207.1000000000004</v>
      </c>
    </row>
    <row r="16" spans="1:6">
      <c r="A16" s="37" t="s">
        <v>30</v>
      </c>
      <c r="B16" s="98" t="s">
        <v>31</v>
      </c>
      <c r="C16" s="52">
        <f>'[6]MATERIAL '!C3</f>
        <v>14.73</v>
      </c>
      <c r="D16" s="52" t="s">
        <v>11</v>
      </c>
      <c r="E16" s="43">
        <f>[6]ESTIMATE!I33</f>
        <v>117.54</v>
      </c>
      <c r="F16" s="44">
        <f>ROUND(C16*E16,2)</f>
        <v>1731.36</v>
      </c>
    </row>
    <row r="17" spans="1:6">
      <c r="A17" s="56"/>
      <c r="B17" s="57"/>
      <c r="C17" s="246" t="s">
        <v>46</v>
      </c>
      <c r="D17" s="247"/>
      <c r="E17" s="248"/>
      <c r="F17" s="44">
        <f>SUM(F5:F16)</f>
        <v>295635.73</v>
      </c>
    </row>
    <row r="18" spans="1:6">
      <c r="A18" s="56"/>
      <c r="B18" s="57"/>
      <c r="C18" s="240" t="s">
        <v>47</v>
      </c>
      <c r="D18" s="241"/>
      <c r="E18" s="242"/>
      <c r="F18" s="44">
        <f>F17*18%</f>
        <v>53214.431399999994</v>
      </c>
    </row>
    <row r="19" spans="1:6">
      <c r="A19" s="56"/>
      <c r="B19" s="57"/>
      <c r="C19" s="246" t="s">
        <v>46</v>
      </c>
      <c r="D19" s="247"/>
      <c r="E19" s="248"/>
      <c r="F19" s="44">
        <f>SUM(F17+F18)</f>
        <v>348850.16139999998</v>
      </c>
    </row>
    <row r="20" spans="1:6">
      <c r="A20" s="56"/>
      <c r="B20" s="57"/>
      <c r="C20" s="237" t="s">
        <v>48</v>
      </c>
      <c r="D20" s="238"/>
      <c r="E20" s="239"/>
      <c r="F20" s="44">
        <f>F19*1%</f>
        <v>3488.5016139999998</v>
      </c>
    </row>
    <row r="21" spans="1:6">
      <c r="A21" s="56"/>
      <c r="B21" s="57"/>
      <c r="C21" s="240" t="s">
        <v>46</v>
      </c>
      <c r="D21" s="241"/>
      <c r="E21" s="242"/>
      <c r="F21" s="44">
        <f>SUM(F19:F20)</f>
        <v>352338.66301399999</v>
      </c>
    </row>
    <row r="22" spans="1:6">
      <c r="A22" s="56"/>
      <c r="B22" s="57"/>
      <c r="C22" s="240" t="s">
        <v>49</v>
      </c>
      <c r="D22" s="241"/>
      <c r="E22" s="242"/>
      <c r="F22" s="44">
        <v>352339</v>
      </c>
    </row>
    <row r="23" spans="1:6">
      <c r="A23" s="58"/>
      <c r="B23" s="59"/>
      <c r="C23" s="60"/>
      <c r="D23" s="60"/>
      <c r="E23" s="61"/>
      <c r="F23" s="62"/>
    </row>
    <row r="24" spans="1:6">
      <c r="A24" s="63"/>
      <c r="B24" s="64"/>
      <c r="C24" s="65"/>
      <c r="D24" s="65"/>
      <c r="E24" s="66"/>
      <c r="F24" s="62"/>
    </row>
    <row r="25" spans="1:6">
      <c r="A25" s="63"/>
      <c r="B25" s="64"/>
      <c r="C25" s="65"/>
      <c r="D25" s="65"/>
      <c r="E25" s="66"/>
      <c r="F25" s="62"/>
    </row>
    <row r="26" spans="1:6">
      <c r="A26" s="63"/>
      <c r="B26" s="67" t="s">
        <v>61</v>
      </c>
      <c r="C26" s="65"/>
      <c r="D26" s="65"/>
      <c r="E26" s="66"/>
      <c r="F26" s="63" t="s">
        <v>62</v>
      </c>
    </row>
    <row r="27" spans="1:6">
      <c r="A27" s="63"/>
      <c r="B27" s="67" t="s">
        <v>63</v>
      </c>
      <c r="C27" s="65"/>
      <c r="D27" s="65"/>
      <c r="E27" s="66"/>
      <c r="F27" s="63" t="s">
        <v>63</v>
      </c>
    </row>
  </sheetData>
  <mergeCells count="9">
    <mergeCell ref="C20:E20"/>
    <mergeCell ref="C21:E21"/>
    <mergeCell ref="C22:E22"/>
    <mergeCell ref="A1:F1"/>
    <mergeCell ref="A2:F2"/>
    <mergeCell ref="A3:F3"/>
    <mergeCell ref="C17:E17"/>
    <mergeCell ref="C18:E18"/>
    <mergeCell ref="C19:E19"/>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33"/>
  <sheetViews>
    <sheetView workbookViewId="0">
      <selection activeCell="A3" sqref="A3:F3"/>
    </sheetView>
  </sheetViews>
  <sheetFormatPr defaultRowHeight="18.75"/>
  <cols>
    <col min="1" max="1" width="5.59765625" customWidth="1"/>
    <col min="2" max="2" width="27.3984375" customWidth="1"/>
    <col min="5" max="5" width="7.796875" customWidth="1"/>
    <col min="6" max="6" width="11.296875" customWidth="1"/>
  </cols>
  <sheetData>
    <row r="1" spans="1:6" ht="36" customHeight="1">
      <c r="A1" s="243" t="s">
        <v>36</v>
      </c>
      <c r="B1" s="243"/>
      <c r="C1" s="243"/>
      <c r="D1" s="243"/>
      <c r="E1" s="243"/>
      <c r="F1" s="243"/>
    </row>
    <row r="2" spans="1:6" ht="21" customHeight="1">
      <c r="A2" s="264" t="s">
        <v>37</v>
      </c>
      <c r="B2" s="264"/>
      <c r="C2" s="264"/>
      <c r="D2" s="264"/>
      <c r="E2" s="264"/>
      <c r="F2" s="264"/>
    </row>
    <row r="3" spans="1:6" ht="39" customHeight="1">
      <c r="A3" s="265" t="s">
        <v>64</v>
      </c>
      <c r="B3" s="265"/>
      <c r="C3" s="265"/>
      <c r="D3" s="265"/>
      <c r="E3" s="265"/>
      <c r="F3" s="265"/>
    </row>
    <row r="4" spans="1:6" ht="30">
      <c r="A4" s="36" t="s">
        <v>38</v>
      </c>
      <c r="B4" s="37" t="s">
        <v>39</v>
      </c>
      <c r="C4" s="37" t="s">
        <v>5</v>
      </c>
      <c r="D4" s="37" t="s">
        <v>6</v>
      </c>
      <c r="E4" s="38" t="s">
        <v>40</v>
      </c>
      <c r="F4" s="39" t="s">
        <v>41</v>
      </c>
    </row>
    <row r="5" spans="1:6" ht="25.5">
      <c r="A5" s="36">
        <v>1</v>
      </c>
      <c r="B5" s="40" t="s">
        <v>42</v>
      </c>
      <c r="C5" s="41">
        <f>[7]ESTIMATE!G4</f>
        <v>5</v>
      </c>
      <c r="D5" s="42" t="s">
        <v>43</v>
      </c>
      <c r="E5" s="43">
        <f>[7]ESTIMATE!I4</f>
        <v>326.85000000000002</v>
      </c>
      <c r="F5" s="44">
        <f t="shared" ref="F5:F16" si="0">ROUND(C5*E5,2)</f>
        <v>1634.25</v>
      </c>
    </row>
    <row r="6" spans="1:6" ht="63.75">
      <c r="A6" s="36" t="s">
        <v>65</v>
      </c>
      <c r="B6" s="47" t="s">
        <v>66</v>
      </c>
      <c r="C6" s="41">
        <f>[7]ESTIMATE!G9</f>
        <v>1.36</v>
      </c>
      <c r="D6" s="42" t="s">
        <v>11</v>
      </c>
      <c r="E6" s="46">
        <f>[7]ESTIMATE!I9</f>
        <v>541.66999999999996</v>
      </c>
      <c r="F6" s="44">
        <f t="shared" si="0"/>
        <v>736.67</v>
      </c>
    </row>
    <row r="7" spans="1:6" ht="56.1" customHeight="1">
      <c r="A7" s="36" t="str">
        <f>[7]ESTIMATE!A10</f>
        <v>3       (J.B.C.D 5.10.3)</v>
      </c>
      <c r="B7" s="47" t="str">
        <f>[7]ESTIMATE!B10</f>
        <v>Dismantling RCC slab including stacking serviceable material in countable stacks withnn 15M.lead and disposal of unserviceable material with all lead completed as per direction of E/I.</v>
      </c>
      <c r="C7" s="41">
        <f>[7]ESTIMATE!G13</f>
        <v>0.68</v>
      </c>
      <c r="D7" s="42" t="s">
        <v>11</v>
      </c>
      <c r="E7" s="46">
        <f>[7]ESTIMATE!I13</f>
        <v>1993.04</v>
      </c>
      <c r="F7" s="44">
        <f t="shared" si="0"/>
        <v>1355.27</v>
      </c>
    </row>
    <row r="8" spans="1:6" ht="102">
      <c r="A8" s="36" t="s">
        <v>67</v>
      </c>
      <c r="B8" s="47" t="s">
        <v>59</v>
      </c>
      <c r="C8" s="41">
        <f>[7]ESTIMATE!G21</f>
        <v>175.75</v>
      </c>
      <c r="D8" s="42" t="s">
        <v>11</v>
      </c>
      <c r="E8" s="50">
        <f>[7]ESTIMATE!I21</f>
        <v>151.82</v>
      </c>
      <c r="F8" s="44">
        <f t="shared" si="0"/>
        <v>26682.37</v>
      </c>
    </row>
    <row r="9" spans="1:6" ht="102">
      <c r="A9" s="36" t="s">
        <v>68</v>
      </c>
      <c r="B9" s="47" t="s">
        <v>69</v>
      </c>
      <c r="C9" s="41">
        <f>[7]ESTIMATE!G27</f>
        <v>35.54</v>
      </c>
      <c r="D9" s="42" t="s">
        <v>11</v>
      </c>
      <c r="E9" s="50">
        <f>[7]ESTIMATE!I27</f>
        <v>347.85</v>
      </c>
      <c r="F9" s="44">
        <f t="shared" si="0"/>
        <v>12362.59</v>
      </c>
    </row>
    <row r="10" spans="1:6" ht="76.5">
      <c r="A10" s="36" t="s">
        <v>70</v>
      </c>
      <c r="B10" s="47" t="s">
        <v>60</v>
      </c>
      <c r="C10" s="41">
        <f>[7]ESTIMATE!G33</f>
        <v>59.71</v>
      </c>
      <c r="D10" s="42" t="s">
        <v>11</v>
      </c>
      <c r="E10" s="50">
        <f>[7]ESTIMATE!I33</f>
        <v>1756.4</v>
      </c>
      <c r="F10" s="44">
        <f t="shared" si="0"/>
        <v>104874.64</v>
      </c>
    </row>
    <row r="11" spans="1:6" ht="76.5">
      <c r="A11" s="36" t="s">
        <v>71</v>
      </c>
      <c r="B11" s="45" t="s">
        <v>44</v>
      </c>
      <c r="C11" s="41">
        <f>[7]ESTIMATE!G39</f>
        <v>71.08</v>
      </c>
      <c r="D11" s="42" t="s">
        <v>11</v>
      </c>
      <c r="E11" s="46">
        <f>[7]ESTIMATE!I39</f>
        <v>4961.7299999999996</v>
      </c>
      <c r="F11" s="44">
        <f t="shared" si="0"/>
        <v>352679.77</v>
      </c>
    </row>
    <row r="12" spans="1:6" ht="114.75">
      <c r="A12" s="36" t="s">
        <v>72</v>
      </c>
      <c r="B12" s="99" t="s">
        <v>73</v>
      </c>
      <c r="C12" s="41">
        <f>[7]ESTIMATE!G44</f>
        <v>3.96</v>
      </c>
      <c r="D12" s="42" t="s">
        <v>11</v>
      </c>
      <c r="E12" s="50">
        <f>[7]ESTIMATE!I44</f>
        <v>6082.45</v>
      </c>
      <c r="F12" s="44">
        <f t="shared" si="0"/>
        <v>24086.5</v>
      </c>
    </row>
    <row r="13" spans="1:6" ht="127.5">
      <c r="A13" s="36" t="s">
        <v>74</v>
      </c>
      <c r="B13" s="47" t="s">
        <v>75</v>
      </c>
      <c r="C13" s="41">
        <f>[7]ESTIMATE!G48</f>
        <v>1.7</v>
      </c>
      <c r="D13" s="42" t="s">
        <v>11</v>
      </c>
      <c r="E13" s="50">
        <f>[7]ESTIMATE!I48</f>
        <v>6308.87</v>
      </c>
      <c r="F13" s="44">
        <f t="shared" si="0"/>
        <v>10725.08</v>
      </c>
    </row>
    <row r="14" spans="1:6" ht="102">
      <c r="A14" s="36" t="s">
        <v>76</v>
      </c>
      <c r="B14" s="47" t="s">
        <v>77</v>
      </c>
      <c r="C14" s="100">
        <f>[7]ESTIMATE!G53</f>
        <v>0.16</v>
      </c>
      <c r="D14" s="52" t="s">
        <v>56</v>
      </c>
      <c r="E14" s="50">
        <f>[7]ESTIMATE!I53</f>
        <v>83314.02</v>
      </c>
      <c r="F14" s="44">
        <f t="shared" si="0"/>
        <v>13330.24</v>
      </c>
    </row>
    <row r="15" spans="1:6">
      <c r="A15" s="101" t="s">
        <v>78</v>
      </c>
      <c r="B15" s="102"/>
      <c r="C15" s="100">
        <f>[7]ESTIMATE!G57</f>
        <v>0.28000000000000003</v>
      </c>
      <c r="D15" s="49" t="s">
        <v>56</v>
      </c>
      <c r="E15" s="50">
        <f>[7]ESTIMATE!I57</f>
        <v>82096.539999999994</v>
      </c>
      <c r="F15" s="44">
        <f t="shared" si="0"/>
        <v>22987.03</v>
      </c>
    </row>
    <row r="16" spans="1:6" ht="51">
      <c r="A16" s="36" t="s">
        <v>79</v>
      </c>
      <c r="B16" s="47" t="s">
        <v>19</v>
      </c>
      <c r="C16" s="48">
        <f>[7]ESTIMATE!G64</f>
        <v>44.14</v>
      </c>
      <c r="D16" s="49" t="s">
        <v>20</v>
      </c>
      <c r="E16" s="50">
        <f>[7]ESTIMATE!I64</f>
        <v>194.5</v>
      </c>
      <c r="F16" s="44">
        <f t="shared" si="0"/>
        <v>8585.23</v>
      </c>
    </row>
    <row r="17" spans="1:6">
      <c r="A17" s="36">
        <v>12</v>
      </c>
      <c r="B17" s="51" t="s">
        <v>21</v>
      </c>
      <c r="C17" s="52"/>
      <c r="D17" s="52"/>
      <c r="E17" s="53"/>
      <c r="F17" s="44"/>
    </row>
    <row r="18" spans="1:6">
      <c r="A18" s="37" t="s">
        <v>22</v>
      </c>
      <c r="B18" s="54" t="s">
        <v>23</v>
      </c>
      <c r="C18" s="52">
        <f>'[7]MATERIAL '!F10</f>
        <v>32.989999999999995</v>
      </c>
      <c r="D18" s="52" t="s">
        <v>11</v>
      </c>
      <c r="E18" s="43">
        <f>[7]ESTIMATE!I66</f>
        <v>848.82</v>
      </c>
      <c r="F18" s="44">
        <f>ROUND(C18*E18,2)</f>
        <v>28002.57</v>
      </c>
    </row>
    <row r="19" spans="1:6">
      <c r="A19" s="37" t="s">
        <v>24</v>
      </c>
      <c r="B19" s="54" t="s">
        <v>80</v>
      </c>
      <c r="C19" s="52">
        <f>'[7]MATERIAL '!G4</f>
        <v>35.54</v>
      </c>
      <c r="D19" s="52" t="s">
        <v>11</v>
      </c>
      <c r="E19" s="43">
        <f>[7]ESTIMATE!I67</f>
        <v>447.06</v>
      </c>
      <c r="F19" s="44">
        <f>ROUND(C19*E19,2)</f>
        <v>15888.51</v>
      </c>
    </row>
    <row r="20" spans="1:6">
      <c r="A20" s="37" t="s">
        <v>26</v>
      </c>
      <c r="B20" s="55" t="s">
        <v>45</v>
      </c>
      <c r="C20" s="52">
        <f>'[7]MATERIAL '!H10</f>
        <v>66</v>
      </c>
      <c r="D20" s="52" t="s">
        <v>11</v>
      </c>
      <c r="E20" s="43">
        <f>[7]ESTIMATE!I68</f>
        <v>447.06</v>
      </c>
      <c r="F20" s="44">
        <f>ROUND(C20*E20,2)</f>
        <v>29505.96</v>
      </c>
    </row>
    <row r="21" spans="1:6">
      <c r="A21" s="37" t="s">
        <v>28</v>
      </c>
      <c r="B21" s="55" t="s">
        <v>29</v>
      </c>
      <c r="C21" s="97">
        <f>'[7]MATERIAL '!C5</f>
        <v>59.71</v>
      </c>
      <c r="D21" s="52" t="s">
        <v>11</v>
      </c>
      <c r="E21" s="43">
        <f>[7]ESTIMATE!I69</f>
        <v>679.66</v>
      </c>
      <c r="F21" s="44">
        <f>ROUND(C21*E21,2)</f>
        <v>40582.5</v>
      </c>
    </row>
    <row r="22" spans="1:6">
      <c r="A22" s="37" t="s">
        <v>30</v>
      </c>
      <c r="B22" s="98" t="s">
        <v>31</v>
      </c>
      <c r="C22" s="52">
        <f>'[7]MATERIAL '!C3</f>
        <v>175.75</v>
      </c>
      <c r="D22" s="52" t="s">
        <v>11</v>
      </c>
      <c r="E22" s="43">
        <f>[7]ESTIMATE!I70</f>
        <v>117.54</v>
      </c>
      <c r="F22" s="44">
        <f>ROUND(C22*E22,2)</f>
        <v>20657.66</v>
      </c>
    </row>
    <row r="23" spans="1:6">
      <c r="A23" s="56"/>
      <c r="B23" s="57"/>
      <c r="C23" s="246" t="s">
        <v>46</v>
      </c>
      <c r="D23" s="247"/>
      <c r="E23" s="248"/>
      <c r="F23" s="44">
        <f>SUM(F5:F22)</f>
        <v>714676.84</v>
      </c>
    </row>
    <row r="24" spans="1:6">
      <c r="A24" s="56"/>
      <c r="B24" s="57"/>
      <c r="C24" s="240" t="s">
        <v>47</v>
      </c>
      <c r="D24" s="241"/>
      <c r="E24" s="242"/>
      <c r="F24" s="44">
        <f>F23*18%</f>
        <v>128641.83119999999</v>
      </c>
    </row>
    <row r="25" spans="1:6">
      <c r="A25" s="56"/>
      <c r="B25" s="57"/>
      <c r="C25" s="246" t="s">
        <v>46</v>
      </c>
      <c r="D25" s="247"/>
      <c r="E25" s="248"/>
      <c r="F25" s="44">
        <f>SUM(F23+F24)</f>
        <v>843318.67119999998</v>
      </c>
    </row>
    <row r="26" spans="1:6">
      <c r="A26" s="56"/>
      <c r="B26" s="57"/>
      <c r="C26" s="237" t="s">
        <v>48</v>
      </c>
      <c r="D26" s="238"/>
      <c r="E26" s="239"/>
      <c r="F26" s="44">
        <f>F25*1%</f>
        <v>8433.1867120000006</v>
      </c>
    </row>
    <row r="27" spans="1:6">
      <c r="A27" s="56"/>
      <c r="B27" s="57"/>
      <c r="C27" s="240" t="s">
        <v>46</v>
      </c>
      <c r="D27" s="241"/>
      <c r="E27" s="242"/>
      <c r="F27" s="44">
        <f>SUM(F25:F26)</f>
        <v>851751.85791200004</v>
      </c>
    </row>
    <row r="28" spans="1:6">
      <c r="A28" s="56"/>
      <c r="B28" s="57"/>
      <c r="C28" s="240" t="s">
        <v>49</v>
      </c>
      <c r="D28" s="241"/>
      <c r="E28" s="242"/>
      <c r="F28" s="44">
        <v>851752</v>
      </c>
    </row>
    <row r="29" spans="1:6">
      <c r="A29" s="58"/>
      <c r="B29" s="59"/>
      <c r="C29" s="60"/>
      <c r="D29" s="60"/>
      <c r="E29" s="61"/>
      <c r="F29" s="62"/>
    </row>
    <row r="30" spans="1:6">
      <c r="A30" s="63"/>
      <c r="B30" s="64"/>
      <c r="C30" s="65"/>
      <c r="D30" s="65"/>
      <c r="E30" s="66"/>
      <c r="F30" s="62"/>
    </row>
    <row r="31" spans="1:6">
      <c r="A31" s="63"/>
      <c r="B31" s="64"/>
      <c r="C31" s="65"/>
      <c r="D31" s="65"/>
      <c r="E31" s="66"/>
      <c r="F31" s="62"/>
    </row>
    <row r="32" spans="1:6">
      <c r="A32" s="63"/>
      <c r="B32" s="67" t="s">
        <v>61</v>
      </c>
      <c r="C32" s="65"/>
      <c r="D32" s="65"/>
      <c r="E32" s="66"/>
      <c r="F32" s="63" t="s">
        <v>62</v>
      </c>
    </row>
    <row r="33" spans="1:6">
      <c r="A33" s="63"/>
      <c r="B33" s="67" t="s">
        <v>63</v>
      </c>
      <c r="C33" s="65"/>
      <c r="D33" s="65"/>
      <c r="E33" s="66"/>
      <c r="F33" s="63" t="s">
        <v>63</v>
      </c>
    </row>
  </sheetData>
  <mergeCells count="9">
    <mergeCell ref="C26:E26"/>
    <mergeCell ref="C27:E27"/>
    <mergeCell ref="C28:E28"/>
    <mergeCell ref="A1:F1"/>
    <mergeCell ref="A2:F2"/>
    <mergeCell ref="A3:F3"/>
    <mergeCell ref="C23:E23"/>
    <mergeCell ref="C24:E24"/>
    <mergeCell ref="C25:E25"/>
  </mergeCells>
  <pageMargins left="0.7" right="0.7" top="0.75" bottom="0.75" header="0.3" footer="0.3"/>
</worksheet>
</file>

<file path=xl/worksheets/sheet9.xml><?xml version="1.0" encoding="utf-8"?>
<worksheet xmlns="http://schemas.openxmlformats.org/spreadsheetml/2006/main" xmlns:r="http://schemas.openxmlformats.org/officeDocument/2006/relationships">
  <sheetPr>
    <tabColor rgb="FFFF0000"/>
  </sheetPr>
  <dimension ref="A1"/>
  <sheetViews>
    <sheetView topLeftCell="A4" workbookViewId="0">
      <selection activeCell="A4" sqref="A1:XFD1048576"/>
    </sheetView>
  </sheetViews>
  <sheetFormatPr defaultRowHeight="63.75" customHeight="1"/>
  <cols>
    <col min="1" max="16384" width="8.796875" style="9"/>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sheet1</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Sheet17</vt:lpstr>
      <vt:lpstr>Sheet18</vt:lpstr>
      <vt:lpstr>Sheet19</vt:lpstr>
      <vt:lpstr>Sheet20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2022-12-06T10:14:19Z</dcterms:created>
  <dcterms:modified xsi:type="dcterms:W3CDTF">2023-01-10T14:20:26Z</dcterms:modified>
</cp:coreProperties>
</file>